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fileSharing readOnlyRecommended="1"/>
  <workbookPr codeName="ThisWorkbook"/>
  <mc:AlternateContent xmlns:mc="http://schemas.openxmlformats.org/markup-compatibility/2006">
    <mc:Choice Requires="x15">
      <x15ac:absPath xmlns:x15ac="http://schemas.microsoft.com/office/spreadsheetml/2010/11/ac" url="C:\Users\v-harikumar\Desktop\RT Assets\New\"/>
    </mc:Choice>
  </mc:AlternateContent>
  <xr:revisionPtr revIDLastSave="0" documentId="8_{3E84B15D-FB84-41E9-8CAB-E3BEEE0C96C0}" xr6:coauthVersionLast="47" xr6:coauthVersionMax="47" xr10:uidLastSave="{00000000-0000-0000-0000-000000000000}"/>
  <workbookProtection workbookAlgorithmName="SHA-512" workbookHashValue="TzmjXCxo0HUR9sFJshnzPBjr9hCYYjJNz6pvSOcJFayKslZOCYwJFRDVw8lXbr8eZ4tO3q9CP6i6CE2U0OEx8g==" workbookSaltValue="59gxARyerhis29dsHtbDjQ==" workbookSpinCount="100000" lockStructure="1"/>
  <bookViews>
    <workbookView xWindow="-108" yWindow="-108" windowWidth="23256" windowHeight="12456" tabRatio="798" firstSheet="1" activeTab="1" xr2:uid="{024D5BBF-D51F-4C57-9D1F-C4C348F20E01}"/>
  </bookViews>
  <sheets>
    <sheet name="ReadMe" sheetId="39" r:id="rId1"/>
    <sheet name="UserInputs" sheetId="33" r:id="rId2"/>
    <sheet name="SKU Calculator Sheet" sheetId="34" r:id="rId3"/>
    <sheet name="Fabric Working Model-Avg" sheetId="30" r:id="rId4"/>
    <sheet name="Fabric Working Model-Peak" sheetId="35" r:id="rId5"/>
    <sheet name="Fabric Working Model-Lean" sheetId="36" r:id="rId6"/>
    <sheet name="FabricMapping" sheetId="12" state="hidden" r:id="rId7"/>
    <sheet name="Cost_Setup" sheetId="40" state="hidden" r:id="rId8"/>
  </sheets>
  <definedNames>
    <definedName name="_machinetype" localSheetId="0">INDEX(#REF!,,MATCH(#REF!,#REF!,0))</definedName>
    <definedName name="_machinetype">INDEX(#REF!,,MATCH(#REF!,#REF!,0))</definedName>
    <definedName name="ToggleValue">FabricMapping!$I$58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9" i="34" l="1"/>
  <c r="F22" i="34"/>
  <c r="F21" i="34"/>
  <c r="F20" i="34"/>
  <c r="F19" i="34"/>
  <c r="F18" i="34"/>
  <c r="F17" i="34"/>
  <c r="F16" i="34"/>
  <c r="F15" i="34"/>
  <c r="F14" i="34"/>
  <c r="F13" i="34"/>
  <c r="F12" i="34"/>
  <c r="J123" i="36" l="1"/>
  <c r="I123" i="36"/>
  <c r="H123" i="36"/>
  <c r="G123" i="36"/>
  <c r="K123" i="36" s="1"/>
  <c r="J96" i="36"/>
  <c r="I96" i="36"/>
  <c r="G96" i="36"/>
  <c r="J123" i="35"/>
  <c r="I123" i="35"/>
  <c r="H123" i="35"/>
  <c r="G123" i="35"/>
  <c r="J96" i="35"/>
  <c r="I96" i="35"/>
  <c r="G96" i="35"/>
  <c r="K123" i="35" l="1"/>
  <c r="H123" i="30"/>
  <c r="G123" i="30"/>
  <c r="J123" i="30"/>
  <c r="I123" i="30"/>
  <c r="J96" i="30"/>
  <c r="I96" i="30"/>
  <c r="G96" i="30"/>
  <c r="AQ66" i="12"/>
  <c r="AQ65" i="12"/>
  <c r="AQ62" i="12"/>
  <c r="AR62" i="12" s="1"/>
  <c r="AQ61" i="12"/>
  <c r="AR63" i="12"/>
  <c r="AR64" i="12"/>
  <c r="AR65" i="12"/>
  <c r="AR66" i="12"/>
  <c r="AR67" i="12"/>
  <c r="AR68" i="12"/>
  <c r="AR61" i="12"/>
  <c r="N120" i="12"/>
  <c r="H143" i="30"/>
  <c r="G90" i="30"/>
  <c r="H96" i="30" s="1"/>
  <c r="I86" i="12"/>
  <c r="I85" i="12"/>
  <c r="I84" i="12"/>
  <c r="R8" i="34"/>
  <c r="Q14" i="12"/>
  <c r="R38" i="34"/>
  <c r="N38" i="34"/>
  <c r="J38" i="34"/>
  <c r="K123" i="30" l="1"/>
  <c r="K96" i="30"/>
  <c r="G269" i="35"/>
  <c r="D38" i="34"/>
  <c r="E10" i="34"/>
  <c r="N80" i="12"/>
  <c r="O80" i="12" s="1"/>
  <c r="O367" i="35" s="1"/>
  <c r="P367" i="35" s="1"/>
  <c r="Q367" i="35" s="1"/>
  <c r="N79" i="12"/>
  <c r="O79" i="12" s="1"/>
  <c r="O367" i="36" s="1"/>
  <c r="P367" i="36" s="1"/>
  <c r="Q367" i="36" s="1"/>
  <c r="N78" i="12"/>
  <c r="O78" i="12" s="1"/>
  <c r="O367" i="30" s="1"/>
  <c r="P367" i="30" s="1"/>
  <c r="Q367" i="30" s="1"/>
  <c r="I80" i="12"/>
  <c r="G243" i="35"/>
  <c r="J243" i="35" s="1"/>
  <c r="G230" i="35" s="1"/>
  <c r="G243" i="36"/>
  <c r="J243" i="36" s="1"/>
  <c r="G230" i="36" s="1"/>
  <c r="G243" i="30"/>
  <c r="J243" i="30" s="1"/>
  <c r="G230" i="30" s="1"/>
  <c r="L80" i="12"/>
  <c r="AN42" i="12"/>
  <c r="I203" i="30"/>
  <c r="R367" i="36" l="1"/>
  <c r="H367" i="36" s="1"/>
  <c r="N17" i="34" s="1"/>
  <c r="R367" i="30"/>
  <c r="H367" i="30" s="1"/>
  <c r="D17" i="34" s="1"/>
  <c r="R367" i="35"/>
  <c r="H367" i="35" s="1"/>
  <c r="G231" i="36"/>
  <c r="H230" i="36"/>
  <c r="G231" i="30"/>
  <c r="G237" i="30" s="1"/>
  <c r="H230" i="30"/>
  <c r="G231" i="35"/>
  <c r="H230" i="35"/>
  <c r="D23" i="34"/>
  <c r="F7" i="33" a="1"/>
  <c r="F7" i="33" s="1"/>
  <c r="P7" i="34" s="1"/>
  <c r="J58" i="12"/>
  <c r="L7" i="34"/>
  <c r="G143" i="12" a="1"/>
  <c r="G143" i="12" s="1"/>
  <c r="L367" i="36" l="1"/>
  <c r="M367" i="36" s="1"/>
  <c r="I367" i="36"/>
  <c r="J367" i="36" s="1"/>
  <c r="J17" i="34"/>
  <c r="R17" i="34" s="1"/>
  <c r="I367" i="35"/>
  <c r="J367" i="35" s="1"/>
  <c r="L367" i="35"/>
  <c r="M367" i="35" s="1"/>
  <c r="I367" i="30"/>
  <c r="J367" i="30" s="1"/>
  <c r="L367" i="30"/>
  <c r="M367" i="30" s="1"/>
  <c r="O17" i="34"/>
  <c r="G237" i="36"/>
  <c r="G232" i="36"/>
  <c r="H231" i="30"/>
  <c r="H232" i="30" s="1"/>
  <c r="H233" i="30" s="1"/>
  <c r="I230" i="30"/>
  <c r="H231" i="35"/>
  <c r="H232" i="35" s="1"/>
  <c r="H233" i="35" s="1"/>
  <c r="I230" i="35"/>
  <c r="G232" i="35"/>
  <c r="G237" i="35"/>
  <c r="G232" i="30"/>
  <c r="I230" i="36"/>
  <c r="H231" i="36"/>
  <c r="H232" i="36" s="1"/>
  <c r="H233" i="36" s="1"/>
  <c r="R36" i="34"/>
  <c r="E8" i="34"/>
  <c r="E36" i="34" s="1"/>
  <c r="E38" i="34"/>
  <c r="M3" i="36"/>
  <c r="M4" i="36"/>
  <c r="M5" i="36"/>
  <c r="M6" i="36"/>
  <c r="M7" i="36"/>
  <c r="M8" i="36"/>
  <c r="M9" i="36"/>
  <c r="M10" i="36"/>
  <c r="M11" i="36"/>
  <c r="M3" i="35"/>
  <c r="M4" i="35"/>
  <c r="M5" i="35"/>
  <c r="M6" i="35"/>
  <c r="M7" i="35"/>
  <c r="M8" i="35"/>
  <c r="M9" i="35"/>
  <c r="M10" i="35"/>
  <c r="M11" i="35"/>
  <c r="M3" i="30"/>
  <c r="M4" i="30"/>
  <c r="M5" i="30"/>
  <c r="M6" i="30"/>
  <c r="M7" i="30"/>
  <c r="M8" i="30"/>
  <c r="M9" i="30"/>
  <c r="M10" i="30"/>
  <c r="M11" i="30"/>
  <c r="E17" i="34" l="1" a="1"/>
  <c r="E17" i="34" s="1"/>
  <c r="BU17" i="34" s="1" a="1"/>
  <c r="BU17" i="34" s="1"/>
  <c r="K17" i="34"/>
  <c r="P17" i="34"/>
  <c r="H234" i="36"/>
  <c r="H234" i="35"/>
  <c r="I231" i="36"/>
  <c r="I232" i="36" s="1"/>
  <c r="I233" i="36" s="1"/>
  <c r="I231" i="30"/>
  <c r="I232" i="30" s="1"/>
  <c r="I233" i="30" s="1"/>
  <c r="H237" i="30"/>
  <c r="H234" i="30"/>
  <c r="G233" i="30"/>
  <c r="G234" i="30"/>
  <c r="H237" i="35"/>
  <c r="G233" i="36"/>
  <c r="G234" i="36"/>
  <c r="I231" i="35"/>
  <c r="I232" i="35" s="1"/>
  <c r="I233" i="35" s="1"/>
  <c r="G233" i="35"/>
  <c r="G234" i="35"/>
  <c r="H237" i="36"/>
  <c r="Q372" i="36"/>
  <c r="P372" i="36"/>
  <c r="O372" i="36"/>
  <c r="Q371" i="36"/>
  <c r="P371" i="36"/>
  <c r="O371" i="36"/>
  <c r="Q370" i="36"/>
  <c r="P370" i="36"/>
  <c r="O370" i="36"/>
  <c r="Q368" i="36"/>
  <c r="P368" i="36"/>
  <c r="O368" i="36"/>
  <c r="Q366" i="36"/>
  <c r="P366" i="36"/>
  <c r="O366" i="36"/>
  <c r="Q365" i="36"/>
  <c r="P365" i="36"/>
  <c r="O365" i="36"/>
  <c r="Q364" i="36"/>
  <c r="P364" i="36"/>
  <c r="O364" i="36"/>
  <c r="Q372" i="35"/>
  <c r="P372" i="35"/>
  <c r="O372" i="35"/>
  <c r="Q371" i="35"/>
  <c r="P371" i="35"/>
  <c r="O371" i="35"/>
  <c r="Q370" i="35"/>
  <c r="P370" i="35"/>
  <c r="O370" i="35"/>
  <c r="Q368" i="35"/>
  <c r="P368" i="35"/>
  <c r="O368" i="35"/>
  <c r="Q366" i="35"/>
  <c r="P366" i="35"/>
  <c r="O366" i="35"/>
  <c r="Q365" i="35"/>
  <c r="P365" i="35"/>
  <c r="O365" i="35"/>
  <c r="Q364" i="35"/>
  <c r="P364" i="35"/>
  <c r="O364" i="35"/>
  <c r="Q364" i="30"/>
  <c r="P364" i="30"/>
  <c r="O364" i="30"/>
  <c r="J86" i="12"/>
  <c r="O369" i="35" s="1"/>
  <c r="J85" i="12"/>
  <c r="O369" i="36" s="1"/>
  <c r="J84" i="12"/>
  <c r="O369" i="30" s="1"/>
  <c r="P369" i="30" s="1"/>
  <c r="Q369" i="30" s="1"/>
  <c r="I79" i="12"/>
  <c r="I78" i="12"/>
  <c r="I74" i="12"/>
  <c r="J74" i="12" s="1"/>
  <c r="O362" i="35" s="1"/>
  <c r="I73" i="12"/>
  <c r="J73" i="12" s="1"/>
  <c r="O362" i="36" s="1"/>
  <c r="I72" i="12"/>
  <c r="J72" i="12" s="1"/>
  <c r="O362" i="30" s="1"/>
  <c r="P362" i="30" s="1"/>
  <c r="Q362" i="30" s="1"/>
  <c r="G68" i="12"/>
  <c r="G67" i="12"/>
  <c r="G66" i="12"/>
  <c r="H66" i="12" s="1"/>
  <c r="O363" i="30" s="1"/>
  <c r="P363" i="30" s="1"/>
  <c r="Q363" i="30" s="1"/>
  <c r="BV17" i="34" l="1" a="1"/>
  <c r="BV17" i="34" s="1"/>
  <c r="L17" i="34"/>
  <c r="I234" i="30"/>
  <c r="I234" i="36"/>
  <c r="I234" i="35"/>
  <c r="R366" i="36"/>
  <c r="R370" i="35"/>
  <c r="R364" i="35"/>
  <c r="R365" i="36"/>
  <c r="R370" i="36"/>
  <c r="R368" i="35"/>
  <c r="R372" i="35"/>
  <c r="R371" i="36"/>
  <c r="R365" i="35"/>
  <c r="R364" i="36"/>
  <c r="R366" i="35"/>
  <c r="R368" i="36"/>
  <c r="R371" i="35"/>
  <c r="R372" i="36"/>
  <c r="P362" i="36"/>
  <c r="Q362" i="36" s="1"/>
  <c r="P369" i="36"/>
  <c r="Q369" i="36" s="1"/>
  <c r="P362" i="35"/>
  <c r="Q362" i="35" s="1"/>
  <c r="P369" i="35"/>
  <c r="Q369" i="35" s="1"/>
  <c r="G328" i="35"/>
  <c r="G328" i="36"/>
  <c r="G328" i="30"/>
  <c r="H320" i="35"/>
  <c r="H320" i="36"/>
  <c r="H320" i="30"/>
  <c r="G320" i="35"/>
  <c r="G320" i="36"/>
  <c r="G320" i="30"/>
  <c r="G317" i="35"/>
  <c r="H317" i="35" s="1"/>
  <c r="G317" i="36"/>
  <c r="H317" i="36" s="1"/>
  <c r="G317" i="30"/>
  <c r="J311" i="35"/>
  <c r="J311" i="36"/>
  <c r="J311" i="30"/>
  <c r="K309" i="35"/>
  <c r="I317" i="35" s="1"/>
  <c r="K309" i="36"/>
  <c r="I317" i="36" s="1"/>
  <c r="K309" i="30"/>
  <c r="I317" i="30" s="1"/>
  <c r="J309" i="35"/>
  <c r="J309" i="36"/>
  <c r="J309" i="30"/>
  <c r="I309" i="30" s="1"/>
  <c r="G303" i="35"/>
  <c r="G303" i="36"/>
  <c r="G303" i="30"/>
  <c r="G299" i="35"/>
  <c r="G299" i="36"/>
  <c r="G299" i="30"/>
  <c r="H296" i="35"/>
  <c r="H296" i="36"/>
  <c r="H296" i="30"/>
  <c r="G296" i="35"/>
  <c r="G296" i="36"/>
  <c r="G296" i="30"/>
  <c r="H276" i="35"/>
  <c r="H276" i="36"/>
  <c r="H276" i="30"/>
  <c r="G276" i="35"/>
  <c r="G276" i="36"/>
  <c r="G276" i="30"/>
  <c r="I269" i="35"/>
  <c r="I269" i="36"/>
  <c r="I269" i="30"/>
  <c r="G269" i="36"/>
  <c r="G269" i="30"/>
  <c r="G227" i="35"/>
  <c r="J227" i="35" s="1"/>
  <c r="G227" i="36"/>
  <c r="J227" i="36" s="1"/>
  <c r="G227" i="30"/>
  <c r="J227" i="30" s="1"/>
  <c r="I203" i="35"/>
  <c r="I203" i="36"/>
  <c r="G203" i="35"/>
  <c r="G203" i="36"/>
  <c r="G203" i="30"/>
  <c r="G182" i="35"/>
  <c r="G182" i="36"/>
  <c r="G182" i="30"/>
  <c r="H180" i="35"/>
  <c r="H185" i="35" s="1"/>
  <c r="H180" i="36"/>
  <c r="H184" i="36" s="1"/>
  <c r="H180" i="30"/>
  <c r="H185" i="30" s="1"/>
  <c r="G179" i="35"/>
  <c r="G179" i="36"/>
  <c r="G179" i="30"/>
  <c r="G146" i="35"/>
  <c r="G146" i="36"/>
  <c r="G146" i="30"/>
  <c r="H143" i="35"/>
  <c r="H148" i="35" s="1"/>
  <c r="H143" i="36"/>
  <c r="H148" i="36" s="1"/>
  <c r="H148" i="30"/>
  <c r="G119" i="35"/>
  <c r="G119" i="36"/>
  <c r="G119" i="30"/>
  <c r="K44" i="35"/>
  <c r="H146" i="35" s="1"/>
  <c r="K44" i="36"/>
  <c r="H146" i="36" s="1"/>
  <c r="K44" i="30"/>
  <c r="H146" i="30" s="1"/>
  <c r="H309" i="35" l="1"/>
  <c r="H184" i="35"/>
  <c r="J296" i="35"/>
  <c r="H309" i="30"/>
  <c r="J51" i="30" s="1"/>
  <c r="R369" i="35"/>
  <c r="R362" i="35"/>
  <c r="H184" i="30"/>
  <c r="J296" i="30"/>
  <c r="R369" i="36"/>
  <c r="R362" i="36"/>
  <c r="H185" i="36"/>
  <c r="J296" i="36"/>
  <c r="H309" i="36"/>
  <c r="I309" i="36"/>
  <c r="I309" i="35"/>
  <c r="I299" i="35" l="1"/>
  <c r="I299" i="36"/>
  <c r="I264" i="35"/>
  <c r="I264" i="36"/>
  <c r="H264" i="35"/>
  <c r="H264" i="36"/>
  <c r="I176" i="35"/>
  <c r="I176" i="36"/>
  <c r="H176" i="35"/>
  <c r="H176" i="36"/>
  <c r="I114" i="35"/>
  <c r="I114" i="36"/>
  <c r="H114" i="35"/>
  <c r="H114" i="36"/>
  <c r="F86" i="12"/>
  <c r="P365" i="30" l="1"/>
  <c r="P366" i="30"/>
  <c r="P368" i="30"/>
  <c r="P370" i="30"/>
  <c r="P371" i="30"/>
  <c r="P372" i="30"/>
  <c r="Q365" i="30"/>
  <c r="Q366" i="30"/>
  <c r="Q368" i="30"/>
  <c r="Q370" i="30"/>
  <c r="Q371" i="30"/>
  <c r="Q372" i="30"/>
  <c r="O365" i="30"/>
  <c r="O366" i="30"/>
  <c r="O368" i="30"/>
  <c r="O370" i="30"/>
  <c r="O371" i="30"/>
  <c r="O372" i="30"/>
  <c r="J44" i="35"/>
  <c r="J45" i="35" s="1"/>
  <c r="J44" i="36"/>
  <c r="J45" i="36" s="1"/>
  <c r="J44" i="30"/>
  <c r="J45" i="30" s="1"/>
  <c r="I44" i="35"/>
  <c r="I45" i="35" s="1"/>
  <c r="I44" i="36"/>
  <c r="I45" i="36" s="1"/>
  <c r="I44" i="30"/>
  <c r="I45" i="30" s="1"/>
  <c r="H44" i="35"/>
  <c r="H45" i="35" s="1"/>
  <c r="H44" i="36"/>
  <c r="H45" i="36" s="1"/>
  <c r="H44" i="30"/>
  <c r="H45" i="30" s="1"/>
  <c r="R364" i="30" l="1"/>
  <c r="R368" i="30"/>
  <c r="R366" i="30"/>
  <c r="R372" i="30"/>
  <c r="R363" i="30"/>
  <c r="R371" i="30"/>
  <c r="R362" i="30"/>
  <c r="R370" i="30"/>
  <c r="R369" i="30"/>
  <c r="R365" i="30"/>
  <c r="J317" i="30" l="1"/>
  <c r="H51" i="30" s="1"/>
  <c r="I299" i="30"/>
  <c r="H317" i="30" l="1"/>
  <c r="J46" i="35"/>
  <c r="I47" i="36"/>
  <c r="H65" i="36" s="1"/>
  <c r="H66" i="36" s="1"/>
  <c r="H67" i="36" s="1"/>
  <c r="H46" i="35"/>
  <c r="H46" i="36"/>
  <c r="N121" i="12"/>
  <c r="H299" i="35" s="1"/>
  <c r="N119" i="12"/>
  <c r="G385" i="30"/>
  <c r="G386" i="30"/>
  <c r="G387" i="30"/>
  <c r="G388" i="30"/>
  <c r="G389" i="30"/>
  <c r="G390" i="30"/>
  <c r="G391" i="30"/>
  <c r="G384" i="30"/>
  <c r="H328" i="35"/>
  <c r="J317" i="35"/>
  <c r="H51" i="35" s="1"/>
  <c r="H328" i="36"/>
  <c r="J317" i="36"/>
  <c r="H51" i="36" s="1"/>
  <c r="G324" i="36"/>
  <c r="H328" i="30"/>
  <c r="G324" i="30"/>
  <c r="N132" i="12"/>
  <c r="N131" i="12"/>
  <c r="N130" i="12"/>
  <c r="I320" i="35" s="1"/>
  <c r="E96" i="12"/>
  <c r="E97" i="12"/>
  <c r="E98" i="12"/>
  <c r="E99" i="12"/>
  <c r="E100" i="12"/>
  <c r="E101" i="12"/>
  <c r="E95" i="12"/>
  <c r="L35" i="34"/>
  <c r="L41" i="34" s="1"/>
  <c r="H149" i="35"/>
  <c r="G267" i="36"/>
  <c r="J203" i="36"/>
  <c r="G193" i="36" s="1"/>
  <c r="H149" i="36"/>
  <c r="H93" i="36"/>
  <c r="J93" i="36" s="1"/>
  <c r="Q11" i="36"/>
  <c r="O10" i="36"/>
  <c r="Q9" i="36"/>
  <c r="Q8" i="36"/>
  <c r="Q7" i="36"/>
  <c r="Q6" i="36"/>
  <c r="Q5" i="36"/>
  <c r="O4" i="36"/>
  <c r="O3" i="36"/>
  <c r="G267" i="35"/>
  <c r="J203" i="35"/>
  <c r="G193" i="35" s="1"/>
  <c r="H93" i="35"/>
  <c r="J93" i="35" s="1"/>
  <c r="Q11" i="35"/>
  <c r="Q10" i="35"/>
  <c r="Q9" i="35"/>
  <c r="Q8" i="35"/>
  <c r="O7" i="35"/>
  <c r="Q6" i="35"/>
  <c r="O5" i="35"/>
  <c r="Q4" i="35"/>
  <c r="Q3" i="35"/>
  <c r="K41" i="34" l="1"/>
  <c r="G90" i="35"/>
  <c r="H96" i="35" s="1"/>
  <c r="H119" i="35"/>
  <c r="G90" i="36"/>
  <c r="H96" i="36" s="1"/>
  <c r="H119" i="36"/>
  <c r="H368" i="36"/>
  <c r="L368" i="36" s="1"/>
  <c r="M368" i="36" s="1"/>
  <c r="H193" i="36"/>
  <c r="H368" i="35"/>
  <c r="L368" i="35" s="1"/>
  <c r="M368" i="35" s="1"/>
  <c r="H193" i="35"/>
  <c r="I193" i="35" s="1"/>
  <c r="G311" i="36"/>
  <c r="I311" i="36" s="1"/>
  <c r="I320" i="30"/>
  <c r="I328" i="35"/>
  <c r="I328" i="36"/>
  <c r="I320" i="36"/>
  <c r="H299" i="30"/>
  <c r="I328" i="30"/>
  <c r="H299" i="36"/>
  <c r="P35" i="34"/>
  <c r="P41" i="34" s="1"/>
  <c r="J51" i="35"/>
  <c r="J51" i="36"/>
  <c r="K296" i="30"/>
  <c r="H303" i="30" s="1"/>
  <c r="I51" i="30" s="1"/>
  <c r="J54" i="30" s="1"/>
  <c r="K296" i="36"/>
  <c r="K296" i="35"/>
  <c r="I46" i="35"/>
  <c r="K45" i="35"/>
  <c r="K46" i="35" s="1"/>
  <c r="H269" i="35" s="1"/>
  <c r="J47" i="36"/>
  <c r="I65" i="36" s="1"/>
  <c r="I66" i="36" s="1"/>
  <c r="I67" i="36" s="1"/>
  <c r="I68" i="36" s="1"/>
  <c r="I69" i="36" s="1"/>
  <c r="K45" i="36"/>
  <c r="K46" i="36" s="1"/>
  <c r="H269" i="36" s="1"/>
  <c r="H324" i="36"/>
  <c r="I324" i="36" s="1"/>
  <c r="G324" i="35"/>
  <c r="H324" i="30"/>
  <c r="I324" i="30" s="1"/>
  <c r="G274" i="35"/>
  <c r="G274" i="36"/>
  <c r="J276" i="36"/>
  <c r="J276" i="35"/>
  <c r="Q7" i="35"/>
  <c r="H150" i="36"/>
  <c r="G153" i="36" s="1"/>
  <c r="O3" i="35"/>
  <c r="Q4" i="36"/>
  <c r="G117" i="35"/>
  <c r="H150" i="35"/>
  <c r="I153" i="35" s="1"/>
  <c r="O10" i="35"/>
  <c r="O11" i="35"/>
  <c r="O9" i="35"/>
  <c r="O9" i="36"/>
  <c r="H186" i="36"/>
  <c r="Q3" i="36"/>
  <c r="O11" i="36"/>
  <c r="O8" i="36"/>
  <c r="O7" i="36"/>
  <c r="I46" i="36"/>
  <c r="J46" i="36"/>
  <c r="O5" i="36"/>
  <c r="Q10" i="36"/>
  <c r="G117" i="36"/>
  <c r="O6" i="36"/>
  <c r="Q5" i="35"/>
  <c r="O8" i="35"/>
  <c r="J47" i="35"/>
  <c r="I65" i="35" s="1"/>
  <c r="I66" i="35" s="1"/>
  <c r="I67" i="35" s="1"/>
  <c r="I68" i="35" s="1"/>
  <c r="I69" i="35" s="1"/>
  <c r="H186" i="35"/>
  <c r="O6" i="35"/>
  <c r="I47" i="35"/>
  <c r="H65" i="35" s="1"/>
  <c r="H66" i="35" s="1"/>
  <c r="H67" i="35" s="1"/>
  <c r="O4" i="35"/>
  <c r="G59" i="12"/>
  <c r="G58" i="12"/>
  <c r="J189" i="35" l="1"/>
  <c r="I189" i="35"/>
  <c r="I58" i="35" s="1"/>
  <c r="H189" i="35"/>
  <c r="G189" i="35"/>
  <c r="K96" i="35"/>
  <c r="I189" i="36"/>
  <c r="J189" i="36"/>
  <c r="G189" i="36"/>
  <c r="H189" i="36"/>
  <c r="G58" i="36"/>
  <c r="K96" i="36"/>
  <c r="J153" i="36"/>
  <c r="H153" i="36"/>
  <c r="I153" i="36"/>
  <c r="I58" i="36" s="1"/>
  <c r="G153" i="35"/>
  <c r="G58" i="35" s="1"/>
  <c r="J153" i="35"/>
  <c r="J58" i="35" s="1"/>
  <c r="H153" i="35"/>
  <c r="O41" i="34"/>
  <c r="I368" i="35"/>
  <c r="J368" i="35" s="1"/>
  <c r="I368" i="36"/>
  <c r="J368" i="36" s="1"/>
  <c r="J119" i="36"/>
  <c r="N18" i="34"/>
  <c r="J18" i="34"/>
  <c r="K18" i="34" s="1"/>
  <c r="J119" i="35"/>
  <c r="P14" i="35"/>
  <c r="L14" i="36"/>
  <c r="P14" i="36"/>
  <c r="L14" i="35"/>
  <c r="H311" i="36"/>
  <c r="G311" i="35"/>
  <c r="I311" i="35" s="1"/>
  <c r="J269" i="36"/>
  <c r="H182" i="36"/>
  <c r="J269" i="35"/>
  <c r="H182" i="35"/>
  <c r="G311" i="30"/>
  <c r="I311" i="30" s="1"/>
  <c r="E25" i="34" a="1"/>
  <c r="E25" i="34" s="1"/>
  <c r="J299" i="30"/>
  <c r="J299" i="36"/>
  <c r="H303" i="36"/>
  <c r="I51" i="36" s="1"/>
  <c r="J54" i="36" s="1"/>
  <c r="J55" i="36" s="1"/>
  <c r="H303" i="35"/>
  <c r="I51" i="35" s="1"/>
  <c r="J54" i="35" s="1"/>
  <c r="J299" i="35"/>
  <c r="J324" i="30"/>
  <c r="K317" i="30" s="1"/>
  <c r="H370" i="30" s="1"/>
  <c r="D20" i="34" s="1"/>
  <c r="J324" i="36"/>
  <c r="K317" i="36" s="1"/>
  <c r="H370" i="36" s="1"/>
  <c r="I370" i="36" s="1"/>
  <c r="H324" i="35"/>
  <c r="I324" i="35" s="1"/>
  <c r="I182" i="36"/>
  <c r="I184" i="36" s="1"/>
  <c r="K311" i="36" a="1"/>
  <c r="K311" i="36" s="1"/>
  <c r="H372" i="36" s="1"/>
  <c r="I372" i="36" s="1"/>
  <c r="I193" i="36"/>
  <c r="I146" i="36"/>
  <c r="I148" i="36" s="1"/>
  <c r="I146" i="35"/>
  <c r="I182" i="35"/>
  <c r="H58" i="36" l="1"/>
  <c r="J58" i="36"/>
  <c r="K189" i="35"/>
  <c r="H58" i="35"/>
  <c r="K189" i="36"/>
  <c r="K153" i="36"/>
  <c r="K58" i="36" s="1"/>
  <c r="G105" i="36"/>
  <c r="H365" i="36" s="1"/>
  <c r="I365" i="36" s="1"/>
  <c r="N25" i="34"/>
  <c r="K153" i="35"/>
  <c r="G105" i="35"/>
  <c r="H365" i="35" s="1"/>
  <c r="O18" i="34"/>
  <c r="R18" i="34"/>
  <c r="H311" i="35"/>
  <c r="H311" i="30"/>
  <c r="K311" i="35" a="1"/>
  <c r="K311" i="35" s="1"/>
  <c r="J55" i="35"/>
  <c r="J25" i="34"/>
  <c r="H90" i="35"/>
  <c r="H90" i="36"/>
  <c r="J55" i="30"/>
  <c r="BX25" i="34"/>
  <c r="K299" i="36"/>
  <c r="J370" i="36"/>
  <c r="N20" i="34"/>
  <c r="J372" i="36"/>
  <c r="N22" i="34"/>
  <c r="I370" i="30"/>
  <c r="K299" i="30"/>
  <c r="K311" i="30" a="1"/>
  <c r="K311" i="30" s="1"/>
  <c r="H372" i="30" s="1"/>
  <c r="D22" i="34" s="1"/>
  <c r="K299" i="35"/>
  <c r="H371" i="35" s="1"/>
  <c r="I371" i="35" s="1"/>
  <c r="J324" i="35"/>
  <c r="K317" i="35" s="1"/>
  <c r="H370" i="35" s="1"/>
  <c r="I370" i="35" s="1"/>
  <c r="I185" i="36"/>
  <c r="J185" i="36" s="1"/>
  <c r="I186" i="36"/>
  <c r="J186" i="36" s="1"/>
  <c r="G255" i="35"/>
  <c r="G255" i="36"/>
  <c r="H255" i="36" s="1"/>
  <c r="I149" i="36"/>
  <c r="I150" i="36"/>
  <c r="J184" i="36"/>
  <c r="I184" i="35"/>
  <c r="J184" i="35" s="1"/>
  <c r="I186" i="35"/>
  <c r="J186" i="35" s="1"/>
  <c r="I185" i="35"/>
  <c r="J185" i="35" s="1"/>
  <c r="I149" i="35"/>
  <c r="I148" i="35"/>
  <c r="I150" i="35"/>
  <c r="K58" i="35" l="1"/>
  <c r="H105" i="36"/>
  <c r="I105" i="36" s="1"/>
  <c r="R25" i="34"/>
  <c r="CD25" i="34" s="1"/>
  <c r="H105" i="35"/>
  <c r="I105" i="35" s="1"/>
  <c r="I365" i="35"/>
  <c r="J15" i="34"/>
  <c r="K15" i="34" s="1"/>
  <c r="O20" i="34"/>
  <c r="O22" i="34"/>
  <c r="P18" i="34"/>
  <c r="H371" i="30"/>
  <c r="D21" i="34" s="1"/>
  <c r="G287" i="30"/>
  <c r="H287" i="30" s="1"/>
  <c r="J90" i="36"/>
  <c r="G80" i="36" s="1"/>
  <c r="J90" i="35"/>
  <c r="G80" i="35" s="1"/>
  <c r="H369" i="35"/>
  <c r="H255" i="35"/>
  <c r="I255" i="35" s="1"/>
  <c r="H371" i="36"/>
  <c r="I371" i="36" s="1"/>
  <c r="J371" i="36" s="1"/>
  <c r="H372" i="35"/>
  <c r="I372" i="35" s="1"/>
  <c r="J372" i="35" s="1"/>
  <c r="G287" i="36"/>
  <c r="H369" i="36"/>
  <c r="I369" i="36" s="1"/>
  <c r="J370" i="35"/>
  <c r="J20" i="34"/>
  <c r="K20" i="34" s="1"/>
  <c r="J371" i="35"/>
  <c r="J21" i="34"/>
  <c r="K21" i="34" s="1"/>
  <c r="N15" i="34"/>
  <c r="O15" i="34" s="1"/>
  <c r="J365" i="36"/>
  <c r="J370" i="30"/>
  <c r="E20" i="34" s="1" a="1"/>
  <c r="E20" i="34" s="1"/>
  <c r="BU20" i="34" s="1" a="1"/>
  <c r="BU20" i="34" s="1"/>
  <c r="I372" i="30"/>
  <c r="G287" i="35"/>
  <c r="H287" i="35" s="1"/>
  <c r="I255" i="36"/>
  <c r="J365" i="35"/>
  <c r="J182" i="35"/>
  <c r="G166" i="35" s="1"/>
  <c r="J182" i="36"/>
  <c r="G166" i="36" s="1"/>
  <c r="I371" i="30" l="1"/>
  <c r="J371" i="30" s="1"/>
  <c r="E21" i="34" s="1" a="1"/>
  <c r="E21" i="34" s="1"/>
  <c r="BU21" i="34" s="1" a="1"/>
  <c r="BU21" i="34" s="1"/>
  <c r="P15" i="34"/>
  <c r="P22" i="34"/>
  <c r="P20" i="34"/>
  <c r="BV20" i="34" a="1"/>
  <c r="BV20" i="34" s="1"/>
  <c r="I369" i="35"/>
  <c r="J369" i="35" s="1"/>
  <c r="J19" i="34"/>
  <c r="K19" i="34" s="1"/>
  <c r="H364" i="36"/>
  <c r="I364" i="36" s="1"/>
  <c r="J364" i="36" s="1"/>
  <c r="H80" i="36"/>
  <c r="I80" i="36" s="1"/>
  <c r="H287" i="36"/>
  <c r="I287" i="36" s="1"/>
  <c r="H364" i="35"/>
  <c r="I364" i="35" s="1"/>
  <c r="J364" i="35" s="1"/>
  <c r="H80" i="35"/>
  <c r="I80" i="35" s="1"/>
  <c r="J22" i="34"/>
  <c r="K22" i="34" s="1"/>
  <c r="N21" i="34"/>
  <c r="N19" i="34"/>
  <c r="J369" i="36"/>
  <c r="R15" i="34"/>
  <c r="R20" i="34"/>
  <c r="J372" i="30"/>
  <c r="E22" i="34" s="1" a="1"/>
  <c r="E22" i="34" s="1"/>
  <c r="BU22" i="34" s="1" a="1"/>
  <c r="BU22" i="34" s="1"/>
  <c r="I287" i="35"/>
  <c r="H166" i="35"/>
  <c r="H166" i="36"/>
  <c r="I166" i="36" s="1"/>
  <c r="J203" i="30"/>
  <c r="G193" i="30" s="1"/>
  <c r="U31" i="12"/>
  <c r="H93" i="30"/>
  <c r="J93" i="30" s="1"/>
  <c r="Q3" i="30"/>
  <c r="Q4" i="30"/>
  <c r="O5" i="30"/>
  <c r="Q6" i="30"/>
  <c r="Q7" i="30"/>
  <c r="Q8" i="30"/>
  <c r="Q9" i="30"/>
  <c r="Q10" i="30"/>
  <c r="Q11" i="30"/>
  <c r="J80" i="12"/>
  <c r="J79" i="12"/>
  <c r="J78" i="12"/>
  <c r="H68" i="12"/>
  <c r="O363" i="35" s="1"/>
  <c r="P363" i="35" s="1"/>
  <c r="Q363" i="35" s="1"/>
  <c r="R363" i="35" s="1"/>
  <c r="H67" i="12"/>
  <c r="O363" i="36" s="1"/>
  <c r="J46" i="30"/>
  <c r="O19" i="34" l="1"/>
  <c r="O21" i="34"/>
  <c r="BV22" i="34" a="1"/>
  <c r="BV22" i="34" s="1"/>
  <c r="BV21" i="34" a="1"/>
  <c r="BV21" i="34" s="1"/>
  <c r="J114" i="35"/>
  <c r="K119" i="35" s="1"/>
  <c r="J176" i="36"/>
  <c r="K176" i="36" s="1"/>
  <c r="J176" i="35"/>
  <c r="K176" i="35" s="1"/>
  <c r="J264" i="36"/>
  <c r="K264" i="36" s="1"/>
  <c r="J114" i="36"/>
  <c r="K119" i="36" s="1"/>
  <c r="J264" i="35"/>
  <c r="K264" i="35" s="1"/>
  <c r="R21" i="34"/>
  <c r="R22" i="34"/>
  <c r="N14" i="34"/>
  <c r="P363" i="36"/>
  <c r="Q363" i="36" s="1"/>
  <c r="J14" i="34"/>
  <c r="K14" i="34" s="1"/>
  <c r="H368" i="30"/>
  <c r="L368" i="30" s="1"/>
  <c r="M368" i="30" s="1"/>
  <c r="H193" i="30"/>
  <c r="H176" i="30"/>
  <c r="J176" i="30" s="1"/>
  <c r="I176" i="30"/>
  <c r="G117" i="30"/>
  <c r="H114" i="30"/>
  <c r="J114" i="30" s="1"/>
  <c r="I114" i="30"/>
  <c r="G274" i="30"/>
  <c r="I264" i="30"/>
  <c r="H264" i="30"/>
  <c r="J276" i="30" s="1"/>
  <c r="AN39" i="12"/>
  <c r="K31" i="12" s="1"/>
  <c r="R19" i="34"/>
  <c r="H363" i="35"/>
  <c r="H186" i="30"/>
  <c r="H149" i="30"/>
  <c r="I47" i="30"/>
  <c r="H65" i="30" s="1"/>
  <c r="H66" i="30" s="1"/>
  <c r="H67" i="30" s="1"/>
  <c r="K45" i="30"/>
  <c r="K46" i="30" s="1"/>
  <c r="H269" i="30" s="1"/>
  <c r="G267" i="30"/>
  <c r="I166" i="35"/>
  <c r="H150" i="30"/>
  <c r="O8" i="30"/>
  <c r="O6" i="30"/>
  <c r="O9" i="30"/>
  <c r="Q5" i="30"/>
  <c r="P14" i="30" s="1"/>
  <c r="O4" i="30"/>
  <c r="O7" i="30"/>
  <c r="O10" i="30"/>
  <c r="O3" i="30"/>
  <c r="O11" i="30"/>
  <c r="J47" i="30"/>
  <c r="I65" i="30" s="1"/>
  <c r="I66" i="30" s="1"/>
  <c r="I67" i="30" s="1"/>
  <c r="I68" i="30" s="1"/>
  <c r="I69" i="30" s="1"/>
  <c r="H46" i="30"/>
  <c r="I46" i="30"/>
  <c r="J189" i="30" l="1"/>
  <c r="I189" i="30"/>
  <c r="G189" i="30"/>
  <c r="H189" i="30"/>
  <c r="I153" i="30"/>
  <c r="H153" i="30"/>
  <c r="J153" i="30"/>
  <c r="J58" i="30" s="1"/>
  <c r="G153" i="30"/>
  <c r="P21" i="34"/>
  <c r="P19" i="34"/>
  <c r="O14" i="34"/>
  <c r="I368" i="30"/>
  <c r="D18" i="34"/>
  <c r="R14" i="34"/>
  <c r="R363" i="36"/>
  <c r="H363" i="36" s="1"/>
  <c r="I363" i="36" s="1"/>
  <c r="J363" i="36" s="1"/>
  <c r="H119" i="30"/>
  <c r="K119" i="30" s="1"/>
  <c r="J264" i="30"/>
  <c r="K264" i="30" s="1"/>
  <c r="L14" i="30"/>
  <c r="H90" i="30" s="1"/>
  <c r="J90" i="30" s="1"/>
  <c r="G80" i="30" s="1"/>
  <c r="H182" i="30"/>
  <c r="J269" i="30"/>
  <c r="G255" i="30" s="1"/>
  <c r="J150" i="35"/>
  <c r="J150" i="36"/>
  <c r="K114" i="36"/>
  <c r="K114" i="35"/>
  <c r="I363" i="35"/>
  <c r="J363" i="35" s="1"/>
  <c r="J13" i="34"/>
  <c r="K13" i="34" s="1"/>
  <c r="H47" i="30"/>
  <c r="G63" i="30" s="1"/>
  <c r="H47" i="36"/>
  <c r="H47" i="35"/>
  <c r="I287" i="30"/>
  <c r="I193" i="30"/>
  <c r="I182" i="30"/>
  <c r="I146" i="30"/>
  <c r="I58" i="30" l="1"/>
  <c r="H58" i="30"/>
  <c r="K153" i="30"/>
  <c r="G58" i="30"/>
  <c r="K189" i="30"/>
  <c r="P14" i="34"/>
  <c r="J368" i="30"/>
  <c r="E18" i="34" s="1" a="1"/>
  <c r="E18" i="34" s="1"/>
  <c r="BU18" i="34" s="1" a="1"/>
  <c r="BU18" i="34" s="1"/>
  <c r="N13" i="34"/>
  <c r="J119" i="30"/>
  <c r="H54" i="35"/>
  <c r="G63" i="35"/>
  <c r="H63" i="35" s="1"/>
  <c r="H54" i="36"/>
  <c r="G63" i="36"/>
  <c r="H63" i="36" s="1"/>
  <c r="H369" i="30"/>
  <c r="H255" i="30"/>
  <c r="H63" i="30"/>
  <c r="H69" i="30" s="1"/>
  <c r="H54" i="30"/>
  <c r="E24" i="34" s="1" a="1"/>
  <c r="E24" i="34" s="1"/>
  <c r="G65" i="35"/>
  <c r="G65" i="36"/>
  <c r="G65" i="30"/>
  <c r="J65" i="30" s="1"/>
  <c r="K65" i="30" s="1"/>
  <c r="I150" i="30"/>
  <c r="I149" i="30"/>
  <c r="I148" i="30"/>
  <c r="I186" i="30"/>
  <c r="J186" i="30" s="1"/>
  <c r="I185" i="30"/>
  <c r="J185" i="30" s="1"/>
  <c r="I184" i="30"/>
  <c r="J184" i="30" s="1"/>
  <c r="K58" i="30" l="1"/>
  <c r="G105" i="30"/>
  <c r="H365" i="30" s="1"/>
  <c r="O13" i="34"/>
  <c r="BV18" i="34" a="1"/>
  <c r="BV18" i="34" s="1"/>
  <c r="I369" i="30"/>
  <c r="D19" i="34"/>
  <c r="R13" i="34"/>
  <c r="E26" i="34"/>
  <c r="BX26" i="34" s="1"/>
  <c r="N24" i="34"/>
  <c r="N26" i="34" s="1"/>
  <c r="H55" i="36"/>
  <c r="J65" i="36"/>
  <c r="K65" i="36" s="1"/>
  <c r="G66" i="36"/>
  <c r="G67" i="36" s="1"/>
  <c r="G68" i="36" s="1"/>
  <c r="G69" i="36" s="1"/>
  <c r="I63" i="36"/>
  <c r="H69" i="36"/>
  <c r="H68" i="36"/>
  <c r="H68" i="35"/>
  <c r="I63" i="35"/>
  <c r="H69" i="35"/>
  <c r="J65" i="35"/>
  <c r="K65" i="35" s="1"/>
  <c r="G66" i="35"/>
  <c r="G67" i="35" s="1"/>
  <c r="G68" i="35" s="1"/>
  <c r="G69" i="35" s="1"/>
  <c r="J24" i="34"/>
  <c r="J26" i="34" s="1"/>
  <c r="H55" i="35"/>
  <c r="H55" i="30"/>
  <c r="BX24" i="34"/>
  <c r="J182" i="30"/>
  <c r="I63" i="30"/>
  <c r="H68" i="30"/>
  <c r="G66" i="30"/>
  <c r="G67" i="30" s="1"/>
  <c r="G68" i="30" s="1"/>
  <c r="G69" i="30" s="1"/>
  <c r="H364" i="30"/>
  <c r="D14" i="34" s="1"/>
  <c r="G166" i="30" l="1"/>
  <c r="H363" i="30" s="1"/>
  <c r="D13" i="34" s="1"/>
  <c r="D15" i="34"/>
  <c r="I365" i="30"/>
  <c r="J365" i="30" s="1"/>
  <c r="E15" i="34" s="1" a="1"/>
  <c r="E15" i="34" s="1"/>
  <c r="H105" i="30"/>
  <c r="I105" i="30" s="1"/>
  <c r="P13" i="34"/>
  <c r="J66" i="35"/>
  <c r="K66" i="35" s="1"/>
  <c r="J66" i="36"/>
  <c r="K66" i="36" s="1"/>
  <c r="R24" i="34"/>
  <c r="J66" i="30"/>
  <c r="K66" i="30" s="1"/>
  <c r="I364" i="30"/>
  <c r="H80" i="30"/>
  <c r="H166" i="30" l="1"/>
  <c r="I166" i="30" s="1"/>
  <c r="I363" i="30"/>
  <c r="J363" i="30" s="1"/>
  <c r="E13" i="34" s="1" a="1"/>
  <c r="E13" i="34" s="1"/>
  <c r="BU13" i="34" s="1" a="1"/>
  <c r="BU13" i="34" s="1"/>
  <c r="BU15" i="34" a="1"/>
  <c r="BU15" i="34" s="1"/>
  <c r="CD24" i="34"/>
  <c r="R26" i="34"/>
  <c r="CD26" i="34" s="1"/>
  <c r="J67" i="36"/>
  <c r="K67" i="36" s="1"/>
  <c r="J67" i="35"/>
  <c r="K67" i="35" s="1"/>
  <c r="J364" i="30"/>
  <c r="E14" i="34" s="1" a="1"/>
  <c r="E14" i="34" s="1"/>
  <c r="BU14" i="34" s="1" a="1"/>
  <c r="BU14" i="34" s="1"/>
  <c r="J67" i="30"/>
  <c r="K67" i="30" s="1"/>
  <c r="I80" i="30"/>
  <c r="J69" i="30"/>
  <c r="K69" i="30" s="1"/>
  <c r="J68" i="30"/>
  <c r="K68" i="30" s="1"/>
  <c r="BV15" i="34" l="1" a="1"/>
  <c r="BV15" i="34" s="1"/>
  <c r="BV14" i="34" a="1"/>
  <c r="BV14" i="34" s="1"/>
  <c r="BV13" i="34" a="1"/>
  <c r="BV13" i="34" s="1"/>
  <c r="J69" i="35"/>
  <c r="K69" i="35" s="1"/>
  <c r="J68" i="35"/>
  <c r="K68" i="35" s="1"/>
  <c r="J69" i="36"/>
  <c r="K69" i="36" s="1"/>
  <c r="J68" i="36"/>
  <c r="K68" i="36" s="1"/>
  <c r="AN30" i="12" l="1"/>
  <c r="G214" i="36" l="1"/>
  <c r="H214" i="36" s="1"/>
  <c r="G214" i="35"/>
  <c r="H214" i="35" s="1"/>
  <c r="H366" i="35" l="1"/>
  <c r="I366" i="35" s="1"/>
  <c r="H366" i="36"/>
  <c r="I366" i="36" s="1"/>
  <c r="G214" i="30"/>
  <c r="H366" i="30" l="1"/>
  <c r="H214" i="30"/>
  <c r="J366" i="36"/>
  <c r="N16" i="34"/>
  <c r="O16" i="34" s="1"/>
  <c r="I214" i="35"/>
  <c r="I214" i="36"/>
  <c r="J366" i="35"/>
  <c r="J16" i="34"/>
  <c r="K16" i="34" s="1"/>
  <c r="P16" i="34" l="1"/>
  <c r="I366" i="30"/>
  <c r="D16" i="34"/>
  <c r="R16" i="34"/>
  <c r="I214" i="30"/>
  <c r="J366" i="30" l="1"/>
  <c r="E16" i="34" s="1" a="1"/>
  <c r="E16" i="34" s="1"/>
  <c r="BU16" i="34" s="1" a="1"/>
  <c r="BU16" i="34" s="1"/>
  <c r="F64" i="12"/>
  <c r="BV16" i="34" l="1" a="1"/>
  <c r="BV16" i="34" s="1"/>
  <c r="K12" i="12"/>
  <c r="K13" i="12"/>
  <c r="K14" i="12"/>
  <c r="K15" i="12"/>
  <c r="K16" i="12"/>
  <c r="K17" i="12"/>
  <c r="K18" i="12"/>
  <c r="K19" i="12"/>
  <c r="K20" i="12"/>
  <c r="K21" i="12"/>
  <c r="K11" i="12"/>
  <c r="M12" i="12" l="1"/>
  <c r="M13" i="12"/>
  <c r="M14" i="12"/>
  <c r="M15" i="12"/>
  <c r="M16" i="12"/>
  <c r="M17" i="12"/>
  <c r="M18" i="12"/>
  <c r="M19" i="12"/>
  <c r="M20" i="12"/>
  <c r="M21" i="12"/>
  <c r="M11" i="12"/>
  <c r="F74" i="12"/>
  <c r="BZ18" i="34" l="1"/>
  <c r="CB21" i="34"/>
  <c r="CB18" i="34"/>
  <c r="CB14" i="34"/>
  <c r="BZ20" i="34"/>
  <c r="BZ16" i="34"/>
  <c r="BZ21" i="34"/>
  <c r="CB16" i="34"/>
  <c r="CB22" i="34"/>
  <c r="CB20" i="34"/>
  <c r="BZ22" i="34"/>
  <c r="BZ14" i="34"/>
  <c r="CB17" i="34"/>
  <c r="BZ17" i="34"/>
  <c r="CB19" i="34"/>
  <c r="G79" i="12"/>
  <c r="G80" i="12" s="1"/>
  <c r="F80" i="12"/>
  <c r="BZ13" i="34" s="1"/>
  <c r="L21" i="12"/>
  <c r="L20" i="12"/>
  <c r="L19" i="12"/>
  <c r="L18" i="12"/>
  <c r="L17" i="12"/>
  <c r="L16" i="12"/>
  <c r="L15" i="12"/>
  <c r="L14" i="12"/>
  <c r="L13" i="12"/>
  <c r="L12" i="12"/>
  <c r="L11" i="12"/>
  <c r="G4" i="12"/>
  <c r="G5" i="12" s="1"/>
  <c r="H5" i="12" s="1"/>
  <c r="I5" i="12" s="1"/>
  <c r="J14" i="12" s="1"/>
  <c r="E15" i="12" s="1"/>
  <c r="BZ19" i="34" l="1"/>
  <c r="CB15" i="34"/>
  <c r="BZ15" i="34"/>
  <c r="CD17" i="34"/>
  <c r="CB13" i="34"/>
  <c r="H19" i="12"/>
  <c r="C20" i="12" s="1"/>
  <c r="H13" i="12"/>
  <c r="C14" i="12" s="1"/>
  <c r="I18" i="12"/>
  <c r="J13" i="12"/>
  <c r="E14" i="12" s="1"/>
  <c r="H21" i="12"/>
  <c r="I16" i="12"/>
  <c r="J15" i="12"/>
  <c r="E16" i="12" s="1"/>
  <c r="H11" i="12"/>
  <c r="J21" i="12"/>
  <c r="H14" i="12"/>
  <c r="I11" i="12"/>
  <c r="I19" i="12"/>
  <c r="J16" i="12"/>
  <c r="E17" i="12" s="1"/>
  <c r="I20" i="12"/>
  <c r="H16" i="12"/>
  <c r="C17" i="12" s="1"/>
  <c r="I13" i="12"/>
  <c r="I21" i="12"/>
  <c r="A21" i="12" s="1"/>
  <c r="J18" i="12"/>
  <c r="E19" i="12" s="1"/>
  <c r="H17" i="12"/>
  <c r="C18" i="12" s="1"/>
  <c r="I14" i="12"/>
  <c r="J11" i="12"/>
  <c r="E12" i="12" s="1"/>
  <c r="J19" i="12"/>
  <c r="E20" i="12" s="1"/>
  <c r="H15" i="12"/>
  <c r="I12" i="12"/>
  <c r="J17" i="12"/>
  <c r="E18" i="12" s="1"/>
  <c r="H18" i="12"/>
  <c r="C19" i="12" s="1"/>
  <c r="I15" i="12"/>
  <c r="J12" i="12"/>
  <c r="E13" i="12" s="1"/>
  <c r="J20" i="12"/>
  <c r="E21" i="12" s="1"/>
  <c r="H12" i="12"/>
  <c r="H20" i="12"/>
  <c r="C21" i="12" s="1"/>
  <c r="I17" i="12"/>
  <c r="H4" i="12"/>
  <c r="I4" i="12" s="1"/>
  <c r="I194" i="35" l="1"/>
  <c r="I195" i="35" s="1"/>
  <c r="I194" i="36"/>
  <c r="I195" i="36" s="1"/>
  <c r="I106" i="35"/>
  <c r="I107" i="35" s="1"/>
  <c r="I106" i="36"/>
  <c r="I107" i="36" s="1"/>
  <c r="I288" i="36"/>
  <c r="I289" i="36" s="1"/>
  <c r="I256" i="36"/>
  <c r="I257" i="36" s="1"/>
  <c r="I81" i="36"/>
  <c r="I82" i="36" s="1"/>
  <c r="I256" i="35"/>
  <c r="I257" i="35" s="1"/>
  <c r="I81" i="35"/>
  <c r="I82" i="35" s="1"/>
  <c r="I288" i="35"/>
  <c r="I289" i="35" s="1"/>
  <c r="I167" i="36"/>
  <c r="I168" i="36" s="1"/>
  <c r="I167" i="35"/>
  <c r="I168" i="35" s="1"/>
  <c r="I288" i="30"/>
  <c r="I289" i="30" s="1"/>
  <c r="I194" i="30"/>
  <c r="I195" i="30" s="1"/>
  <c r="I106" i="30"/>
  <c r="I107" i="30" s="1"/>
  <c r="I81" i="30"/>
  <c r="I82" i="30" s="1"/>
  <c r="I167" i="30"/>
  <c r="I168" i="30" s="1"/>
  <c r="I215" i="35"/>
  <c r="I216" i="35" s="1"/>
  <c r="I215" i="36"/>
  <c r="I216" i="36" s="1"/>
  <c r="I215" i="30"/>
  <c r="I216" i="30" s="1"/>
  <c r="C16" i="12"/>
  <c r="C29" i="12"/>
  <c r="C13" i="12"/>
  <c r="A20" i="12"/>
  <c r="D21" i="12"/>
  <c r="D17" i="12"/>
  <c r="A16" i="12"/>
  <c r="A14" i="12"/>
  <c r="D15" i="12"/>
  <c r="A19" i="12"/>
  <c r="D20" i="12"/>
  <c r="D16" i="12"/>
  <c r="A15" i="12"/>
  <c r="A11" i="12"/>
  <c r="D12" i="12"/>
  <c r="C15" i="12"/>
  <c r="A18" i="12"/>
  <c r="D19" i="12"/>
  <c r="A17" i="12"/>
  <c r="D18" i="12"/>
  <c r="D13" i="12"/>
  <c r="A12" i="12"/>
  <c r="A13" i="12"/>
  <c r="D14" i="12"/>
  <c r="C12" i="12"/>
  <c r="H194" i="35" l="1"/>
  <c r="H195" i="35" s="1"/>
  <c r="H194" i="36"/>
  <c r="H195" i="36" s="1"/>
  <c r="H106" i="36"/>
  <c r="H107" i="36" s="1"/>
  <c r="H106" i="35"/>
  <c r="H107" i="35" s="1"/>
  <c r="H81" i="35"/>
  <c r="H82" i="35" s="1"/>
  <c r="H256" i="35"/>
  <c r="H257" i="35" s="1"/>
  <c r="H256" i="36"/>
  <c r="H257" i="36" s="1"/>
  <c r="H81" i="36"/>
  <c r="H82" i="36" s="1"/>
  <c r="H288" i="36"/>
  <c r="H289" i="36" s="1"/>
  <c r="H167" i="36"/>
  <c r="H168" i="36" s="1"/>
  <c r="H167" i="35"/>
  <c r="H168" i="35" s="1"/>
  <c r="H288" i="35"/>
  <c r="H289" i="35" s="1"/>
  <c r="H288" i="30"/>
  <c r="H289" i="30" s="1"/>
  <c r="H194" i="30"/>
  <c r="H195" i="30" s="1"/>
  <c r="H106" i="30"/>
  <c r="H107" i="30" s="1"/>
  <c r="H167" i="30"/>
  <c r="H168" i="30" s="1"/>
  <c r="H81" i="30"/>
  <c r="H82" i="30" s="1"/>
  <c r="H215" i="35"/>
  <c r="H216" i="35" s="1"/>
  <c r="H215" i="36"/>
  <c r="H216" i="36" s="1"/>
  <c r="H215" i="30"/>
  <c r="H216" i="30" s="1"/>
  <c r="I258" i="35"/>
  <c r="I259" i="35"/>
  <c r="I108" i="30"/>
  <c r="I109" i="30"/>
  <c r="I83" i="36"/>
  <c r="I84" i="36"/>
  <c r="I83" i="30"/>
  <c r="I84" i="30"/>
  <c r="I196" i="30"/>
  <c r="I197" i="30"/>
  <c r="I258" i="36"/>
  <c r="I259" i="36"/>
  <c r="G194" i="35"/>
  <c r="G195" i="35" s="1"/>
  <c r="G194" i="36"/>
  <c r="G195" i="36" s="1"/>
  <c r="L365" i="36"/>
  <c r="M365" i="36" s="1"/>
  <c r="G106" i="36"/>
  <c r="G107" i="36" s="1"/>
  <c r="L370" i="36"/>
  <c r="M370" i="36" s="1"/>
  <c r="G106" i="35"/>
  <c r="G107" i="35" s="1"/>
  <c r="L370" i="30"/>
  <c r="M370" i="30" s="1"/>
  <c r="G81" i="35"/>
  <c r="G82" i="35" s="1"/>
  <c r="L369" i="35"/>
  <c r="M369" i="35" s="1"/>
  <c r="L365" i="35"/>
  <c r="M365" i="35" s="1"/>
  <c r="L371" i="35"/>
  <c r="M371" i="35" s="1"/>
  <c r="L372" i="36"/>
  <c r="M372" i="36" s="1"/>
  <c r="G256" i="35"/>
  <c r="G257" i="35" s="1"/>
  <c r="G81" i="36"/>
  <c r="G82" i="36" s="1"/>
  <c r="G256" i="36"/>
  <c r="G257" i="36" s="1"/>
  <c r="L371" i="30"/>
  <c r="M371" i="30" s="1"/>
  <c r="L370" i="35"/>
  <c r="M370" i="35" s="1"/>
  <c r="L364" i="35"/>
  <c r="M364" i="35" s="1"/>
  <c r="G167" i="36"/>
  <c r="G168" i="36" s="1"/>
  <c r="L371" i="36"/>
  <c r="M371" i="36" s="1"/>
  <c r="G288" i="35"/>
  <c r="G289" i="35" s="1"/>
  <c r="L369" i="36"/>
  <c r="M369" i="36" s="1"/>
  <c r="G288" i="36"/>
  <c r="G289" i="36" s="1"/>
  <c r="G167" i="35"/>
  <c r="G168" i="35" s="1"/>
  <c r="L364" i="36"/>
  <c r="M364" i="36" s="1"/>
  <c r="L372" i="30"/>
  <c r="G194" i="30"/>
  <c r="G195" i="30" s="1"/>
  <c r="G288" i="30"/>
  <c r="G289" i="30" s="1"/>
  <c r="L372" i="35"/>
  <c r="M372" i="35" s="1"/>
  <c r="L363" i="35"/>
  <c r="M363" i="35" s="1"/>
  <c r="L363" i="36"/>
  <c r="M363" i="36" s="1"/>
  <c r="L365" i="30"/>
  <c r="G106" i="30"/>
  <c r="G107" i="30" s="1"/>
  <c r="L363" i="30"/>
  <c r="G167" i="30"/>
  <c r="G168" i="30" s="1"/>
  <c r="L364" i="30"/>
  <c r="G81" i="30"/>
  <c r="G82" i="30" s="1"/>
  <c r="G215" i="36"/>
  <c r="G215" i="35"/>
  <c r="L366" i="35"/>
  <c r="M366" i="35" s="1"/>
  <c r="L366" i="36"/>
  <c r="M366" i="36" s="1"/>
  <c r="G215" i="30"/>
  <c r="L366" i="30"/>
  <c r="I217" i="30"/>
  <c r="I218" i="30"/>
  <c r="I169" i="35"/>
  <c r="I170" i="35"/>
  <c r="I108" i="36"/>
  <c r="I109" i="36"/>
  <c r="I217" i="36"/>
  <c r="I218" i="36"/>
  <c r="I169" i="36"/>
  <c r="I170" i="36"/>
  <c r="I108" i="35"/>
  <c r="I109" i="35"/>
  <c r="I290" i="36"/>
  <c r="I291" i="36"/>
  <c r="I217" i="35"/>
  <c r="I218" i="35"/>
  <c r="I290" i="35"/>
  <c r="I291" i="35"/>
  <c r="I196" i="36"/>
  <c r="I197" i="36"/>
  <c r="I290" i="30"/>
  <c r="I291" i="30"/>
  <c r="I169" i="30"/>
  <c r="I170" i="30"/>
  <c r="I83" i="35"/>
  <c r="I84" i="35"/>
  <c r="I196" i="35"/>
  <c r="I197" i="35"/>
  <c r="G221" i="30" l="1"/>
  <c r="G222" i="30" s="1"/>
  <c r="E28" i="34" s="1"/>
  <c r="L16" i="34"/>
  <c r="L22" i="34"/>
  <c r="L19" i="34"/>
  <c r="L18" i="34"/>
  <c r="L15" i="34"/>
  <c r="CD16" i="34"/>
  <c r="CD22" i="34"/>
  <c r="L13" i="34"/>
  <c r="L14" i="34"/>
  <c r="L21" i="34"/>
  <c r="CD14" i="34"/>
  <c r="L20" i="34"/>
  <c r="M364" i="30"/>
  <c r="I386" i="30" s="1"/>
  <c r="J386" i="30" s="1"/>
  <c r="H386" i="30"/>
  <c r="G196" i="30"/>
  <c r="G197" i="30"/>
  <c r="G290" i="35"/>
  <c r="G291" i="35"/>
  <c r="H217" i="36"/>
  <c r="H218" i="36"/>
  <c r="H290" i="35"/>
  <c r="H291" i="35"/>
  <c r="H258" i="35"/>
  <c r="H259" i="35"/>
  <c r="H388" i="30"/>
  <c r="M366" i="30"/>
  <c r="I388" i="30" s="1"/>
  <c r="J388" i="30" s="1"/>
  <c r="G169" i="30"/>
  <c r="G170" i="30"/>
  <c r="M372" i="30"/>
  <c r="I391" i="30" s="1"/>
  <c r="J391" i="30" s="1"/>
  <c r="H391" i="30"/>
  <c r="G83" i="35"/>
  <c r="G84" i="35"/>
  <c r="H217" i="35"/>
  <c r="H218" i="35"/>
  <c r="H169" i="35"/>
  <c r="H170" i="35"/>
  <c r="H83" i="35"/>
  <c r="H84" i="35"/>
  <c r="G216" i="30"/>
  <c r="H385" i="30"/>
  <c r="M363" i="30"/>
  <c r="I385" i="30" s="1"/>
  <c r="J385" i="30" s="1"/>
  <c r="G258" i="36"/>
  <c r="G259" i="36"/>
  <c r="H108" i="30"/>
  <c r="H109" i="30"/>
  <c r="G108" i="36"/>
  <c r="G109" i="36"/>
  <c r="H258" i="36"/>
  <c r="H259" i="36"/>
  <c r="G108" i="30"/>
  <c r="G109" i="30"/>
  <c r="G290" i="30"/>
  <c r="G291" i="30"/>
  <c r="G169" i="35"/>
  <c r="G170" i="35"/>
  <c r="G83" i="36"/>
  <c r="G84" i="36"/>
  <c r="G196" i="36"/>
  <c r="G197" i="36"/>
  <c r="H108" i="35"/>
  <c r="H109" i="35"/>
  <c r="G169" i="36"/>
  <c r="G170" i="36"/>
  <c r="G258" i="35"/>
  <c r="G259" i="35"/>
  <c r="H196" i="30"/>
  <c r="H197" i="30"/>
  <c r="H169" i="36"/>
  <c r="H170" i="36"/>
  <c r="H108" i="36"/>
  <c r="H109" i="36"/>
  <c r="G221" i="35"/>
  <c r="G216" i="35"/>
  <c r="M365" i="30"/>
  <c r="I387" i="30" s="1"/>
  <c r="J387" i="30" s="1"/>
  <c r="H387" i="30"/>
  <c r="I389" i="30"/>
  <c r="J389" i="30" s="1"/>
  <c r="H389" i="30"/>
  <c r="G290" i="36"/>
  <c r="G291" i="36"/>
  <c r="G108" i="35"/>
  <c r="G109" i="35"/>
  <c r="G196" i="35"/>
  <c r="G197" i="35"/>
  <c r="H83" i="30"/>
  <c r="H84" i="30"/>
  <c r="H290" i="36"/>
  <c r="H291" i="36"/>
  <c r="H196" i="36"/>
  <c r="H197" i="36"/>
  <c r="G83" i="30"/>
  <c r="G84" i="30"/>
  <c r="H169" i="30"/>
  <c r="H170" i="30"/>
  <c r="G221" i="36"/>
  <c r="G216" i="36"/>
  <c r="H217" i="30"/>
  <c r="H218" i="30"/>
  <c r="H290" i="30"/>
  <c r="H291" i="30"/>
  <c r="H83" i="36"/>
  <c r="H84" i="36"/>
  <c r="H196" i="35"/>
  <c r="H197" i="35"/>
  <c r="G222" i="35" l="1"/>
  <c r="J28" i="34" s="1"/>
  <c r="G222" i="36"/>
  <c r="N28" i="34" s="1"/>
  <c r="CD19" i="34"/>
  <c r="CD20" i="34"/>
  <c r="CD15" i="34"/>
  <c r="CD21" i="34"/>
  <c r="CD18" i="34"/>
  <c r="CD13" i="34"/>
  <c r="G217" i="35"/>
  <c r="G218" i="35"/>
  <c r="H221" i="35"/>
  <c r="G217" i="36"/>
  <c r="G218" i="36"/>
  <c r="H221" i="30"/>
  <c r="H221" i="36"/>
  <c r="G217" i="30"/>
  <c r="G218" i="30"/>
  <c r="B20" i="12"/>
  <c r="R28" i="34" l="1"/>
  <c r="H222" i="35"/>
  <c r="BZ28" i="34" s="1"/>
  <c r="H222" i="36"/>
  <c r="CB28" i="34" s="1"/>
  <c r="H222" i="30"/>
  <c r="BX28" i="34" s="1"/>
  <c r="B13" i="12"/>
  <c r="B21" i="12"/>
  <c r="B14" i="12"/>
  <c r="B16" i="12"/>
  <c r="B17" i="12"/>
  <c r="B15" i="12"/>
  <c r="B18" i="12"/>
  <c r="B12" i="12"/>
  <c r="B19" i="12"/>
  <c r="B11" i="12"/>
  <c r="CD28" i="34" l="1"/>
  <c r="K29" i="12"/>
  <c r="K30" i="12"/>
  <c r="J149" i="36" l="1"/>
  <c r="J149" i="35"/>
  <c r="J148" i="36"/>
  <c r="J148" i="35"/>
  <c r="J148" i="30"/>
  <c r="J149" i="30"/>
  <c r="J150" i="30"/>
  <c r="J146" i="35" l="1"/>
  <c r="J146" i="30"/>
  <c r="J146" i="36"/>
  <c r="G134" i="36" s="1"/>
  <c r="G134" i="35" l="1"/>
  <c r="G135" i="35" s="1"/>
  <c r="G136" i="35" s="1"/>
  <c r="G134" i="30"/>
  <c r="H362" i="30" s="1"/>
  <c r="H362" i="35"/>
  <c r="J12" i="34" s="1"/>
  <c r="K12" i="34" s="1"/>
  <c r="BZ12" i="34" s="1"/>
  <c r="H134" i="35"/>
  <c r="I134" i="35" s="1"/>
  <c r="G135" i="36"/>
  <c r="G136" i="36" s="1"/>
  <c r="G137" i="36" s="1"/>
  <c r="H362" i="36"/>
  <c r="H134" i="36"/>
  <c r="G137" i="35" l="1"/>
  <c r="G138" i="35"/>
  <c r="H134" i="30"/>
  <c r="H135" i="30" s="1"/>
  <c r="H136" i="30" s="1"/>
  <c r="H137" i="30" s="1"/>
  <c r="G135" i="30"/>
  <c r="G136" i="30" s="1"/>
  <c r="G137" i="30" s="1"/>
  <c r="D12" i="34"/>
  <c r="I362" i="30"/>
  <c r="J362" i="30" s="1"/>
  <c r="E12" i="34" s="1" a="1"/>
  <c r="E12" i="34" s="1"/>
  <c r="BU12" i="34" s="1" a="1"/>
  <c r="BU12" i="34" s="1"/>
  <c r="L362" i="30"/>
  <c r="M362" i="30" s="1"/>
  <c r="I384" i="30" s="1"/>
  <c r="J384" i="30" s="1"/>
  <c r="H135" i="35"/>
  <c r="H136" i="35" s="1"/>
  <c r="H137" i="35" s="1"/>
  <c r="H373" i="35"/>
  <c r="I362" i="35"/>
  <c r="J362" i="35" s="1"/>
  <c r="J373" i="35" s="1"/>
  <c r="J375" i="35" s="1"/>
  <c r="J376" i="35" s="1"/>
  <c r="L362" i="35"/>
  <c r="M362" i="35" s="1"/>
  <c r="G138" i="36"/>
  <c r="H135" i="36"/>
  <c r="H136" i="36" s="1"/>
  <c r="H137" i="36" s="1"/>
  <c r="I134" i="36"/>
  <c r="L362" i="36"/>
  <c r="M362" i="36" s="1"/>
  <c r="N12" i="34"/>
  <c r="I362" i="36"/>
  <c r="H373" i="36"/>
  <c r="J11" i="34"/>
  <c r="I135" i="35"/>
  <c r="I136" i="35" s="1"/>
  <c r="I137" i="35" s="1"/>
  <c r="I134" i="30" l="1"/>
  <c r="G138" i="30"/>
  <c r="H384" i="30"/>
  <c r="K368" i="36"/>
  <c r="K367" i="36"/>
  <c r="K364" i="35"/>
  <c r="K368" i="35"/>
  <c r="K367" i="35"/>
  <c r="O12" i="34"/>
  <c r="CB12" i="34" s="1"/>
  <c r="BV12" i="34" a="1"/>
  <c r="BV12" i="34" s="1"/>
  <c r="L12" i="34"/>
  <c r="I373" i="35"/>
  <c r="I375" i="35" s="1"/>
  <c r="I376" i="35" s="1"/>
  <c r="H138" i="35"/>
  <c r="K363" i="35"/>
  <c r="K362" i="35"/>
  <c r="K370" i="35"/>
  <c r="K369" i="35"/>
  <c r="L373" i="35"/>
  <c r="M373" i="35" s="1"/>
  <c r="K366" i="35"/>
  <c r="K371" i="35"/>
  <c r="K365" i="35"/>
  <c r="K372" i="35"/>
  <c r="H375" i="35"/>
  <c r="H376" i="35" s="1"/>
  <c r="I138" i="35"/>
  <c r="K362" i="36"/>
  <c r="K365" i="36"/>
  <c r="K371" i="36"/>
  <c r="H375" i="36"/>
  <c r="H376" i="36" s="1"/>
  <c r="K363" i="36"/>
  <c r="K372" i="36"/>
  <c r="K364" i="36"/>
  <c r="K370" i="36"/>
  <c r="L373" i="36"/>
  <c r="M373" i="36" s="1"/>
  <c r="K366" i="36"/>
  <c r="K369" i="36"/>
  <c r="J362" i="36"/>
  <c r="J373" i="36" s="1"/>
  <c r="J375" i="36" s="1"/>
  <c r="J376" i="36" s="1"/>
  <c r="I373" i="36"/>
  <c r="I375" i="36" s="1"/>
  <c r="I376" i="36" s="1"/>
  <c r="H138" i="36"/>
  <c r="N11" i="34"/>
  <c r="N39" i="34" s="1"/>
  <c r="I135" i="36"/>
  <c r="I136" i="36" s="1"/>
  <c r="I137" i="36" s="1"/>
  <c r="J39" i="34"/>
  <c r="R12" i="34"/>
  <c r="H138" i="30"/>
  <c r="I135" i="30"/>
  <c r="I136" i="30" s="1"/>
  <c r="I137" i="30" s="1"/>
  <c r="O39" i="34" l="1"/>
  <c r="CB39" i="34" s="1"/>
  <c r="P12" i="34"/>
  <c r="R11" i="34"/>
  <c r="R39" i="34"/>
  <c r="K39" i="34"/>
  <c r="BZ39" i="34" s="1"/>
  <c r="I138" i="36"/>
  <c r="I138" i="30"/>
  <c r="N41" i="34" l="1"/>
  <c r="P39" i="34"/>
  <c r="L39" i="34"/>
  <c r="CD12" i="34"/>
  <c r="CD39" i="34"/>
  <c r="J41" i="34"/>
  <c r="K176" i="30" l="1"/>
  <c r="K114" i="30" l="1"/>
  <c r="L369" i="30" l="1"/>
  <c r="H373" i="30"/>
  <c r="G256" i="30"/>
  <c r="G257" i="30" s="1"/>
  <c r="G258" i="30" s="1"/>
  <c r="K368" i="30" l="1"/>
  <c r="K367" i="30"/>
  <c r="D11" i="34"/>
  <c r="D39" i="34" s="1"/>
  <c r="K371" i="30"/>
  <c r="K370" i="30"/>
  <c r="M369" i="30"/>
  <c r="I390" i="30" s="1"/>
  <c r="J390" i="30" s="1"/>
  <c r="H390" i="30"/>
  <c r="K366" i="30"/>
  <c r="H375" i="30"/>
  <c r="H376" i="30" s="1"/>
  <c r="K372" i="30"/>
  <c r="L373" i="30"/>
  <c r="M373" i="30" s="1"/>
  <c r="K365" i="30"/>
  <c r="K364" i="30"/>
  <c r="K363" i="30"/>
  <c r="K362" i="30"/>
  <c r="K369" i="30"/>
  <c r="J369" i="30"/>
  <c r="E19" i="34" s="1" a="1"/>
  <c r="E19" i="34" s="1"/>
  <c r="I373" i="30"/>
  <c r="G259" i="30"/>
  <c r="I255" i="30"/>
  <c r="H256" i="30"/>
  <c r="H257" i="30" s="1"/>
  <c r="H258" i="30" s="1"/>
  <c r="BU19" i="34" l="1" a="1"/>
  <c r="BU19" i="34" s="1"/>
  <c r="J373" i="30"/>
  <c r="J375" i="30" s="1"/>
  <c r="J376" i="30" s="1"/>
  <c r="I375" i="30"/>
  <c r="I376" i="30" s="1"/>
  <c r="I256" i="30"/>
  <c r="I257" i="30" s="1"/>
  <c r="I258" i="30" s="1"/>
  <c r="H259" i="30"/>
  <c r="BV19" i="34" l="1" a="1"/>
  <c r="BV19" i="34" s="1"/>
  <c r="E11" i="34"/>
  <c r="E39" i="34" s="1"/>
  <c r="I259" i="30"/>
  <c r="BU39" i="34" l="1" a="1"/>
  <c r="BU39" i="34" s="1"/>
  <c r="BV39" i="34" l="1" a="1"/>
  <c r="BV39" i="34" s="1"/>
  <c r="G12" i="34" a="1"/>
  <c r="G12" i="34" s="1"/>
  <c r="BX12" i="34" a="1"/>
  <c r="BX12" i="34" s="1"/>
  <c r="BX22" i="34" a="1"/>
  <c r="BX22" i="34" s="1"/>
  <c r="G22" i="34" a="1"/>
  <c r="G22" i="34" s="1"/>
  <c r="G19" i="34" a="1"/>
  <c r="G19" i="34" s="1"/>
  <c r="BX19" i="34" a="1"/>
  <c r="BX19" i="34" s="1"/>
  <c r="G17" i="34" a="1"/>
  <c r="G17" i="34" s="1"/>
  <c r="BX17" i="34" a="1"/>
  <c r="BX17" i="34" s="1"/>
  <c r="G16" i="34" a="1"/>
  <c r="G16" i="34" s="1"/>
  <c r="BX16" i="34" a="1"/>
  <c r="BX16" i="34" s="1"/>
  <c r="G15" i="34" a="1"/>
  <c r="G15" i="34" s="1"/>
  <c r="BX15" i="34" a="1"/>
  <c r="BX15" i="34" s="1"/>
  <c r="G14" i="34" a="1"/>
  <c r="G14" i="34" s="1"/>
  <c r="BX14" i="34" a="1"/>
  <c r="BX14" i="34" s="1"/>
  <c r="G18" i="34" a="1"/>
  <c r="G18" i="34" s="1"/>
  <c r="BX18" i="34" a="1"/>
  <c r="BX18" i="34" s="1"/>
  <c r="G20" i="34" a="1"/>
  <c r="G20" i="34" s="1"/>
  <c r="BX20" i="34" a="1"/>
  <c r="BX20" i="34" s="1"/>
  <c r="G13" i="34" a="1"/>
  <c r="G13" i="34" s="1"/>
  <c r="BX13" i="34" a="1"/>
  <c r="BX13" i="34" s="1"/>
  <c r="G21" i="34" a="1"/>
  <c r="G21" i="34" s="1"/>
  <c r="BX21" i="34" a="1"/>
  <c r="BX21" i="34" s="1"/>
  <c r="D41" i="34"/>
  <c r="G39" i="34" a="1"/>
  <c r="G39" i="34" s="1"/>
  <c r="BX39" i="34" a="1"/>
  <c r="BX39" i="3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<sst xmlns="http://schemas.openxmlformats.org/spreadsheetml/2006/main" count="1538" uniqueCount="517">
  <si>
    <t>Overview</t>
  </si>
  <si>
    <t>Review Date: 2024-03-01</t>
  </si>
  <si>
    <r>
      <t xml:space="preserve">The purpose of the tool is to: 
1. Help create a detailed SKU Calculator sheet for Microsoft Fabric based on user inputs
2. Create an option of </t>
    </r>
    <r>
      <rPr>
        <b/>
        <sz val="10"/>
        <color theme="1"/>
        <rFont val="Segoe UI"/>
        <family val="2"/>
      </rPr>
      <t xml:space="preserve">calculating a Fabric SKU </t>
    </r>
    <r>
      <rPr>
        <sz val="10"/>
        <color theme="1"/>
        <rFont val="Segoe UI"/>
        <family val="2"/>
      </rPr>
      <t>based on the factors such as capacity utilization, etc.
3. In this version, SKU calculation is based on the mapping of the CU needed vs CU available with each Fabric SKU. The model calculates the estimated SKU for each use case, each time recommending the lowest possible SKU that can cover for the CU minutes required based on the user inputs.</t>
    </r>
  </si>
  <si>
    <t>Use the above navigation button ('User Inputs') to start using the tool</t>
  </si>
  <si>
    <t>Fabric Use cases</t>
  </si>
  <si>
    <t>Use Case</t>
  </si>
  <si>
    <t>Product</t>
  </si>
  <si>
    <t>Example User Inputs</t>
  </si>
  <si>
    <t>Data Warehouse, Lakehouse &amp; Integration</t>
  </si>
  <si>
    <t>Synapse, OneLake, ADF</t>
  </si>
  <si>
    <t>Total Data Size, Daily DW/LH Processing, ETL Jobs etc.</t>
  </si>
  <si>
    <t>Data Engineering</t>
  </si>
  <si>
    <t>Spark</t>
  </si>
  <si>
    <t>Spark Cluster, Is Gold layer processed by Spark</t>
  </si>
  <si>
    <t>Business Intelligence</t>
  </si>
  <si>
    <t>PowerBI, PowerBi Embed</t>
  </si>
  <si>
    <t>User Base, Existing M365 E5 licenses, Active Embed Users, etc.</t>
  </si>
  <si>
    <t>Real-time Analytics Use case 1 - Messaging</t>
  </si>
  <si>
    <t>Azure Data Explorer</t>
  </si>
  <si>
    <t>Instance Count, Retention Days,# of Triggers Evaluated etc.</t>
  </si>
  <si>
    <t xml:space="preserve">Real-time Analytics Use case 2 - Kusto Workload </t>
  </si>
  <si>
    <t>Data load, Hot data, Retention days etc.</t>
  </si>
  <si>
    <t>Real-time Analytics Use case 3 - Event Stream</t>
  </si>
  <si>
    <t>Processing time, # of event streams, # of jobs</t>
  </si>
  <si>
    <t>Data Science</t>
  </si>
  <si>
    <t>AzureML</t>
  </si>
  <si>
    <t>Daily Avg. # of Experiments, # of data scientists</t>
  </si>
  <si>
    <t>Instructions</t>
  </si>
  <si>
    <t>Any changes made on any tabs/columns except the User Input fields may overwrite the default formulas used to calculate the results.
So, it is advised that before you start: Make a copy of the tool, click on "Reset model" in 'User Inputs' tab and then modify the copy. For each new customer/scenario, start with a new copy. 
If certain contents or actions are appearing as BLOCKED on your local copy of the file, then please browse to the folder with the local copy, Right Click &gt; Properties &gt; General &gt; Unblock.
Once the file is opened, please click on "Enable Contents" on top of your File, to enable the VBA/Macros in your file</t>
  </si>
  <si>
    <t>Disclaimer</t>
  </si>
  <si>
    <t>The information in this document is confidential and proprietary to Microsoft and may not be disclosed without the permission of Microsoft.</t>
  </si>
  <si>
    <t>This content is for Microsoft and Partners use only and may be only used for commercial purposes. 
Microsoft Partner sellers may use the Fabric SKU Calculator as a tool to help calculate the SKU for Fabric based on user’s inputs. 
The results from the  Fabric SKU Calculator and content for MSFT Partners  should not be modified, altered, or  distributed (i.e., printed, copied, emailed, photographed, or left behind)  to customers or competitors. 
Please make sure you are using the most current Fabric SKU Calculator https://aka.ms/FabricPartnerResources .</t>
  </si>
  <si>
    <t>The Microsoft Fabric SKU Calculator is a tool that provides an estimate of the suggested Fabric SKU and associated cost based on a user’s entry of various inputs across the Fabric workload experiences. 
The Microsoft Fabric SKU Calculator is not a binding offer nor a guarantee of the final cost or availability of the product. This estimate should be regarded only as a guidance and not incorporated into a contractual agreement. 
The actual SKU required for usage and associated cost may vary depending on the region, availability, workload usage, number of users, and other factors. 
You may contact your Microsoft representative before making any customer recommendations or purchase decisions. 
Microsoft reserves the right to modify or discontinue the Fabric SKU Calculator at any time without notice.</t>
  </si>
  <si>
    <t>Select Target Architecture:</t>
  </si>
  <si>
    <t>Data Lakehouse</t>
  </si>
  <si>
    <t>Select Input Category:</t>
  </si>
  <si>
    <t>Lean Days are defined as days with least/minimum usage, Peak Days are defined as days with maximum usage</t>
  </si>
  <si>
    <t>Type / Category</t>
  </si>
  <si>
    <t>Average Usage</t>
  </si>
  <si>
    <t>Peak</t>
  </si>
  <si>
    <t>Lean</t>
  </si>
  <si>
    <t>Units</t>
  </si>
  <si>
    <t>Description</t>
  </si>
  <si>
    <t>Select # of Working Days in a week</t>
  </si>
  <si>
    <t>Total Data Size (Compressed) (GiB)</t>
  </si>
  <si>
    <t>This is the total data size on disk for the production stack</t>
  </si>
  <si>
    <t>Daily DW/LH Processing</t>
  </si>
  <si>
    <t>How many times per day is the batch ETL process run</t>
  </si>
  <si>
    <t># of ETL Source tables/Jobs</t>
  </si>
  <si>
    <t>This is the number of source data sets / tables that get processed per batch ETL run</t>
  </si>
  <si>
    <t>% Hot Data</t>
  </si>
  <si>
    <t>This is the percentage of data that is active and will need reprocessing in the gold zone.</t>
  </si>
  <si>
    <t>Per Bach cycle Incremental Data</t>
  </si>
  <si>
    <t>GB</t>
  </si>
  <si>
    <t>This is the amount of the total data will be ingested for batch processing</t>
  </si>
  <si>
    <t>Spark Cluster</t>
  </si>
  <si>
    <t>Medium (8 vCore, 64 Mem)</t>
  </si>
  <si>
    <t>This is the combination of total vCores and Memory required for processing jobs. Default set to Medium.</t>
  </si>
  <si>
    <t>Is Gold Layer processed by SPARK</t>
  </si>
  <si>
    <t>Is Spark used to process Gold layer?</t>
  </si>
  <si>
    <t>Does Serving Layer require DW Endpoint</t>
  </si>
  <si>
    <t>Is there a need for a Data Warehouse Endpoint in the Gold Layer?</t>
  </si>
  <si>
    <t>Note: The data inputs of DW, LH and integration are being used in Data Engineering use case</t>
  </si>
  <si>
    <t>PBI</t>
  </si>
  <si>
    <t># of Report Creators/Authors</t>
  </si>
  <si>
    <t>This is the total number of Report / Dashboard authors or creaters</t>
  </si>
  <si>
    <t>Already have Microsoft 365 E5 Licenses?</t>
  </si>
  <si>
    <t>If the customer has licensed all AAD users with Microsoft 365 E5 licenses, this will determine if Pro licenses may be required or not</t>
  </si>
  <si>
    <t>Existing # of Power BI Pro / PPU CALs</t>
  </si>
  <si>
    <t>The number of existing Power BI Pro Cals</t>
  </si>
  <si>
    <t># of Report/Dashboard users</t>
  </si>
  <si>
    <t>The estimated count of the userbase that will access Power BI</t>
  </si>
  <si>
    <t>PBI Embd.</t>
  </si>
  <si>
    <t>Do you require Power BI Embedded?</t>
  </si>
  <si>
    <t>Do you have Power BI Embedded Use Cases?</t>
  </si>
  <si>
    <t>Daily Active Power BI Embedded Users</t>
  </si>
  <si>
    <t>The Number of daily active consumers of Embedded reports</t>
  </si>
  <si>
    <t>Daily Service Hours</t>
  </si>
  <si>
    <t>The daily service window where you expect users to consume Embedded content</t>
  </si>
  <si>
    <t>SQL</t>
  </si>
  <si>
    <t>Ad-hoc Duty Cycle(h/day)</t>
  </si>
  <si>
    <t>Hours per day (for foreground activities)</t>
  </si>
  <si>
    <t># of Concurrent Queries</t>
  </si>
  <si>
    <t>Total concurrent queries runs daily</t>
  </si>
  <si>
    <t>Is Fabric Data Science in use?</t>
  </si>
  <si>
    <t>Include or exclude Data Science use case</t>
  </si>
  <si>
    <t>Daily Avg. # of DS Batch Scoring Models</t>
  </si>
  <si>
    <t>How many Data Science Batch scoring jobs are run in a day</t>
  </si>
  <si>
    <t># of Data Scientists</t>
  </si>
  <si>
    <t>No. of Data Scientists working daily</t>
  </si>
  <si>
    <t>DA</t>
  </si>
  <si>
    <t>Instance Count</t>
  </si>
  <si>
    <t>Number of "things" monitored daily, IE: number of Devices, Drivers, Invoices, Applications, Cars etc..</t>
  </si>
  <si>
    <t>Frequency of Data instance send (in Mins)</t>
  </si>
  <si>
    <t>How often does the "thing" send data (in mins)</t>
  </si>
  <si>
    <t># of Triggers Evaluated</t>
  </si>
  <si>
    <t>Average No. of Triggers evaluated daily</t>
  </si>
  <si>
    <t>Data Retention Days</t>
  </si>
  <si>
    <t>No. of Days query want to lookback</t>
  </si>
  <si>
    <t>KQL</t>
  </si>
  <si>
    <t>One-Time Data load (GB)</t>
  </si>
  <si>
    <t>One Time Data (GB) Load, IE: if you need to seed data, leave this blank if you are not sure.</t>
  </si>
  <si>
    <t>Daily Telemetry Data (GB)</t>
  </si>
  <si>
    <t>Data collected (GB) per day</t>
  </si>
  <si>
    <t>Hot Data (Days)</t>
  </si>
  <si>
    <t>No. of Days data remains active in the Kusto Query cache</t>
  </si>
  <si>
    <t>Retention Days</t>
  </si>
  <si>
    <t>Total retention (cold and hot data available for query - days)</t>
  </si>
  <si>
    <t>Duty Cycle (Active Time) (Hours)</t>
  </si>
  <si>
    <t>Time database is active (ingestion or query)</t>
  </si>
  <si>
    <t>ES</t>
  </si>
  <si>
    <t>Daily Streaming Data (GB)</t>
  </si>
  <si>
    <t>Daily Streaming Data (GB) to be processed</t>
  </si>
  <si>
    <t>Processing Time (Non-Idle Time -  Hours)</t>
  </si>
  <si>
    <t>Processing Time (Non-Idle Time -  Hours), this is actual hours in a day that has at least an event in it, not processing hours.</t>
  </si>
  <si>
    <t># of Event Streams</t>
  </si>
  <si>
    <t>Number of Event Streams deployed in all workspaces</t>
  </si>
  <si>
    <t># of Jobs</t>
  </si>
  <si>
    <t># of Daily running jobs across all event streams</t>
  </si>
  <si>
    <t>&lt;Helper Column for %Threshold&gt;</t>
  </si>
  <si>
    <t>Avg. Usecase</t>
  </si>
  <si>
    <t>Combination</t>
  </si>
  <si>
    <t>First Conversation (based on Average Usecase)</t>
  </si>
  <si>
    <t>Second Conversation (based on Lean and Peak Usecase)</t>
  </si>
  <si>
    <t>Detailed Comparison</t>
  </si>
  <si>
    <t>Set Utilization Threshold:</t>
  </si>
  <si>
    <t>Enable BCDR</t>
  </si>
  <si>
    <t># of Peak Days</t>
  </si>
  <si>
    <t># of Lean Days</t>
  </si>
  <si>
    <t>Microsoft Fabric Consumption</t>
  </si>
  <si>
    <t>Daily Estimate for Peak Days</t>
  </si>
  <si>
    <t>Daily Estimate for Lean Days</t>
  </si>
  <si>
    <t>Use case</t>
  </si>
  <si>
    <t>Daily Capacity Minutes</t>
  </si>
  <si>
    <t>Viable SKU</t>
  </si>
  <si>
    <t>% Utilization</t>
  </si>
  <si>
    <t>Total Calculated Capacity Minutes</t>
  </si>
  <si>
    <t>SKU #1</t>
  </si>
  <si>
    <t>SKU #2</t>
  </si>
  <si>
    <t>Estd. Cost</t>
  </si>
  <si>
    <t>Total Capacity</t>
  </si>
  <si>
    <t>Data Model - DW</t>
  </si>
  <si>
    <t>Data Model - LH</t>
  </si>
  <si>
    <t>Data Engineering - Data Factory</t>
  </si>
  <si>
    <t>Data Engineering - Spark</t>
  </si>
  <si>
    <t>Power BI</t>
  </si>
  <si>
    <t>PowerBI Embedded</t>
  </si>
  <si>
    <t>Ad-Hoc Lakehouse SQL</t>
  </si>
  <si>
    <t>Data Science Experiments</t>
  </si>
  <si>
    <t>Event Stream</t>
  </si>
  <si>
    <t>Data Activator</t>
  </si>
  <si>
    <t>KQL DB</t>
  </si>
  <si>
    <t>Storage</t>
  </si>
  <si>
    <t>One Lake Storage (GB)</t>
  </si>
  <si>
    <t>Onelake Cache (GB)</t>
  </si>
  <si>
    <t>OneLake BCDR storage (GB)</t>
  </si>
  <si>
    <t>Power BI Licence Requirements</t>
  </si>
  <si>
    <t>PBI Pro Cals (Monthly)</t>
  </si>
  <si>
    <t>Overall Estimation</t>
  </si>
  <si>
    <t>SKU Requirement Summary per Month</t>
  </si>
  <si>
    <t>Days : 30</t>
  </si>
  <si>
    <t>Inputs</t>
  </si>
  <si>
    <t>Data Source</t>
  </si>
  <si>
    <t>% of Sources</t>
  </si>
  <si>
    <t># or Sources</t>
  </si>
  <si>
    <t>Ingestion Rate</t>
  </si>
  <si>
    <t>AVG Rate</t>
  </si>
  <si>
    <t>Compression Factor</t>
  </si>
  <si>
    <t>Average Factor</t>
  </si>
  <si>
    <t>Select # of Days in a week for Category:</t>
  </si>
  <si>
    <t>Azure Storage</t>
  </si>
  <si>
    <t>Azure SQL DB/MI/IaaS</t>
  </si>
  <si>
    <t>Azure Synapse Ded. SQL</t>
  </si>
  <si>
    <t># Of ETL Source tables/Jobs</t>
  </si>
  <si>
    <t xml:space="preserve">SQL Server </t>
  </si>
  <si>
    <t>Teradata</t>
  </si>
  <si>
    <t>Daily Incremental Data</t>
  </si>
  <si>
    <t>10GB</t>
  </si>
  <si>
    <t>Oracle</t>
  </si>
  <si>
    <t>SAP</t>
  </si>
  <si>
    <t>AWS S3</t>
  </si>
  <si>
    <t>Does Serving Layer Require DW Endpoint</t>
  </si>
  <si>
    <t>File Share / SFTP /API</t>
  </si>
  <si>
    <t># of Report Creaters/Authors</t>
  </si>
  <si>
    <t>Existing # of Power Bi Pro / PPU CALs</t>
  </si>
  <si>
    <t>Throughput Factor</t>
  </si>
  <si>
    <t>Bronze Compression</t>
  </si>
  <si>
    <t>Daily Avg. # of Data Science Experiments</t>
  </si>
  <si>
    <t>One Lake</t>
  </si>
  <si>
    <t>Storage Configuration - Data Lakehouse</t>
  </si>
  <si>
    <t>Parameter</t>
  </si>
  <si>
    <t>Bronze</t>
  </si>
  <si>
    <t>Silver</t>
  </si>
  <si>
    <t>Gold</t>
  </si>
  <si>
    <t>Hot</t>
  </si>
  <si>
    <t>Ratio of total</t>
  </si>
  <si>
    <t>Compressed (GB)</t>
  </si>
  <si>
    <t>Native (GB)</t>
  </si>
  <si>
    <t>Costed Data (GB)</t>
  </si>
  <si>
    <t>Real Time Analytics</t>
  </si>
  <si>
    <t>Workload</t>
  </si>
  <si>
    <t>OneLake Storage</t>
  </si>
  <si>
    <t>Premium Storage</t>
  </si>
  <si>
    <t>Total Data At Rest</t>
  </si>
  <si>
    <t>Monthly Storage Cost</t>
  </si>
  <si>
    <t>OneLake read Operation CU Minutes</t>
  </si>
  <si>
    <t>OneLake Write Operations CU</t>
  </si>
  <si>
    <t>OneLake Iterative Reads CU</t>
  </si>
  <si>
    <t>OneLake Iterative Writes CU</t>
  </si>
  <si>
    <t>Daily OneLake CU Minutes Needed</t>
  </si>
  <si>
    <t>Storage projection 5 Years</t>
  </si>
  <si>
    <t>&lt;&lt;Hide</t>
  </si>
  <si>
    <t>Total Storage (GB)</t>
  </si>
  <si>
    <t>Annual Cost</t>
  </si>
  <si>
    <t>Daily Ingestion Rate (GB)</t>
  </si>
  <si>
    <t>Retention (Months)</t>
  </si>
  <si>
    <t>Year 1 Storage</t>
  </si>
  <si>
    <t>Year 2 Storage</t>
  </si>
  <si>
    <t>Year 3 Storage</t>
  </si>
  <si>
    <t>Year 4 Storage</t>
  </si>
  <si>
    <t>Year 5 Storage</t>
  </si>
  <si>
    <t>Data Integration (ADF)</t>
  </si>
  <si>
    <t>Daily Capacity 
(CU Minutes)</t>
  </si>
  <si>
    <t>Weekly Capacity 
(CU Minutes)</t>
  </si>
  <si>
    <t>Monthly Capacity 
(CU Minutes)</t>
  </si>
  <si>
    <t>Fabric SKU Calculated</t>
  </si>
  <si>
    <t>Base CU</t>
  </si>
  <si>
    <t>Cost</t>
  </si>
  <si>
    <t>Efficiency</t>
  </si>
  <si>
    <t>Data Integration</t>
  </si>
  <si>
    <t>Bronze Zone - Daily Data Ingestion (ADF)</t>
  </si>
  <si>
    <t>AVG Per Copy Size(MB)</t>
  </si>
  <si>
    <t>Per Pipeline CU Minutes</t>
  </si>
  <si>
    <t>Daily Data Movement CU Minutes Needed</t>
  </si>
  <si>
    <t>AVG Activities per pipeline</t>
  </si>
  <si>
    <t>Orchestration Activity CU Minutes Needed</t>
  </si>
  <si>
    <t>OneLake Write Operations</t>
  </si>
  <si>
    <t>OneLake Iterative Reads</t>
  </si>
  <si>
    <t>OneLake Iterative Writes</t>
  </si>
  <si>
    <t>Data Engineering (Spark)</t>
  </si>
  <si>
    <t>Spark Configuration</t>
  </si>
  <si>
    <t>Spark CU Multiplier</t>
  </si>
  <si>
    <t>Spark Process Memory</t>
  </si>
  <si>
    <t>Max Spark Nodes</t>
  </si>
  <si>
    <t>Max CU Minute Capacity</t>
  </si>
  <si>
    <t>Pipeline Count</t>
  </si>
  <si>
    <t>Per Job Node Count</t>
  </si>
  <si>
    <t>Average Pipeline Run(Sec)</t>
  </si>
  <si>
    <t>CU Minutes Needed</t>
  </si>
  <si>
    <t>Daily Duration (Minutes)</t>
  </si>
  <si>
    <t>* Spark jobs are built up from a minimum of 1 x driver and 1 x executor node.</t>
  </si>
  <si>
    <t>Data Warehouse</t>
  </si>
  <si>
    <t>Data Warehouse Capacity Consumption</t>
  </si>
  <si>
    <t>DW Processing</t>
  </si>
  <si>
    <t>Data Model Jobs</t>
  </si>
  <si>
    <t>SQL Endpoint Consumption (Data Warehouse House)</t>
  </si>
  <si>
    <t>DW Reprocess/day</t>
  </si>
  <si>
    <t>% of Gold Queried</t>
  </si>
  <si>
    <t>Daily Query Time (Minutes)</t>
  </si>
  <si>
    <t>Batch Type</t>
  </si>
  <si>
    <t>Batch Jobs</t>
  </si>
  <si>
    <t>AVG Time Per Job (Minutes)</t>
  </si>
  <si>
    <t>Simple</t>
  </si>
  <si>
    <t>Medium</t>
  </si>
  <si>
    <t>Complex</t>
  </si>
  <si>
    <t>* We assume that there is a 1 to 8 aggregation ration IE: 880 Jobs in Silver will result in 110 jobs in Gold</t>
  </si>
  <si>
    <t>Lakehouse</t>
  </si>
  <si>
    <t>Data Modelling - Lakehouse</t>
  </si>
  <si>
    <t>LH Processing /day</t>
  </si>
  <si>
    <t>Total CU Minutes Needed</t>
  </si>
  <si>
    <t>Model Type</t>
  </si>
  <si>
    <t>Average Time Per Job (Minutes)</t>
  </si>
  <si>
    <t>Adhoc Lakehouse</t>
  </si>
  <si>
    <t>Adhoc Lakehouse Capacity Consumption</t>
  </si>
  <si>
    <t>Ad-Hoc SQL Endpoint Consumption (Lake House)</t>
  </si>
  <si>
    <t>Concurrent Queries</t>
  </si>
  <si>
    <t>Visualization (PBI)</t>
  </si>
  <si>
    <t>Power BI Consumption</t>
  </si>
  <si>
    <t>PowerBi Pro Licences</t>
  </si>
  <si>
    <t>Visualization / BI</t>
  </si>
  <si>
    <t>Daily Consumption Time (Minutes)</t>
  </si>
  <si>
    <t>Power BI Embedded Consumption</t>
  </si>
  <si>
    <t>Data Science - Model Scoring</t>
  </si>
  <si>
    <t>Ad-Hoc Data Science Analysis</t>
  </si>
  <si>
    <t>AVG Daily Expeiments</t>
  </si>
  <si>
    <t>AVG GB of HOT Data</t>
  </si>
  <si>
    <t>Average Daily Analysis Time (Min)</t>
  </si>
  <si>
    <t>Exploratory Data Science</t>
  </si>
  <si>
    <t>No. Of Data Scientists</t>
  </si>
  <si>
    <t>Real-time Analytics</t>
  </si>
  <si>
    <t>Ad-Hoc Real-time Analytics</t>
  </si>
  <si>
    <t>Real-Time Analytics (Data Activator)</t>
  </si>
  <si>
    <t>Number of "things" monitored Daily</t>
  </si>
  <si>
    <t>Frequency Data Received 
(Min)</t>
  </si>
  <si>
    <t>Payload Size (KB)</t>
  </si>
  <si>
    <t>Daily Events</t>
  </si>
  <si>
    <t>Daily Processed Data (GB)</t>
  </si>
  <si>
    <t>Average Expected Trigger Evaluations</t>
  </si>
  <si>
    <t>Trigger CU Minutes</t>
  </si>
  <si>
    <t>Event Processing CU Minutes</t>
  </si>
  <si>
    <t>Data Ingestion CU Minutes</t>
  </si>
  <si>
    <t>Daily CU Minutes</t>
  </si>
  <si>
    <t>Storage Metrics</t>
  </si>
  <si>
    <t>Data Retention (days)</t>
  </si>
  <si>
    <t>GB Stored Per Month</t>
  </si>
  <si>
    <t>Kusto Query Language</t>
  </si>
  <si>
    <t>Real-Time Analytics (KQL)</t>
  </si>
  <si>
    <t>Compression Ratio</t>
  </si>
  <si>
    <t>Total Data at Rest (GB)</t>
  </si>
  <si>
    <t>Data in HOT Cache (GB)</t>
  </si>
  <si>
    <t>Hot Cache Retention(Days)</t>
  </si>
  <si>
    <t>Data Retention (Days)</t>
  </si>
  <si>
    <t>Type of Node</t>
  </si>
  <si>
    <t># of Nodes</t>
  </si>
  <si>
    <t>Cores</t>
  </si>
  <si>
    <t>Duty Cycle (% Active)</t>
  </si>
  <si>
    <t>Daily CU Minutes Needed</t>
  </si>
  <si>
    <t>Daily GB to process</t>
  </si>
  <si>
    <t>Billable Data Store</t>
  </si>
  <si>
    <t>Total CU Minutes</t>
  </si>
  <si>
    <t>Non idle Time</t>
  </si>
  <si>
    <t>Event Streams</t>
  </si>
  <si>
    <t>CU Minutes</t>
  </si>
  <si>
    <t>Event Stream Data Traffic</t>
  </si>
  <si>
    <t>Ingress (GB)</t>
  </si>
  <si>
    <t>Egress (GB)</t>
  </si>
  <si>
    <t>Total Traffic (GB)</t>
  </si>
  <si>
    <t>Event Stream Processor Jobs</t>
  </si>
  <si>
    <t>Number Of Jobs</t>
  </si>
  <si>
    <t>Processing Time (h)</t>
  </si>
  <si>
    <t>Consumption Summary</t>
  </si>
  <si>
    <t>WorkLoad</t>
  </si>
  <si>
    <t>Daily Capacity</t>
  </si>
  <si>
    <t>Weekly Capacity</t>
  </si>
  <si>
    <t>Montly Capacity</t>
  </si>
  <si>
    <t>%Of Total Daily</t>
  </si>
  <si>
    <t>CU Need</t>
  </si>
  <si>
    <t>SKU Consumed</t>
  </si>
  <si>
    <t>LH</t>
  </si>
  <si>
    <t>DW</t>
  </si>
  <si>
    <t>Select</t>
  </si>
  <si>
    <t>LH, DW</t>
  </si>
  <si>
    <t>LH,SPARK</t>
  </si>
  <si>
    <t>LH,DW, Spark</t>
  </si>
  <si>
    <t>DW, Spark</t>
  </si>
  <si>
    <t>SubTotal</t>
  </si>
  <si>
    <t>SKU Need</t>
  </si>
  <si>
    <t>SKU Efficiency</t>
  </si>
  <si>
    <t>Workloads</t>
  </si>
  <si>
    <t>Blank</t>
  </si>
  <si>
    <t>LowerCap</t>
  </si>
  <si>
    <t>UpperCap</t>
  </si>
  <si>
    <t>MiddleLine1</t>
  </si>
  <si>
    <t>MiddleLine2</t>
  </si>
  <si>
    <t>30GB</t>
  </si>
  <si>
    <t>OneLake Storage Cost</t>
  </si>
  <si>
    <t>Multipliers</t>
  </si>
  <si>
    <t>Per Day</t>
  </si>
  <si>
    <t>Per Week</t>
  </si>
  <si>
    <t>Per Month</t>
  </si>
  <si>
    <t>Seconds</t>
  </si>
  <si>
    <t>Minutes</t>
  </si>
  <si>
    <t>X</t>
  </si>
  <si>
    <t>ADF Base Units (Self Hosted IR)</t>
  </si>
  <si>
    <t>Fabric SKU Map</t>
  </si>
  <si>
    <t>SQL NodeTable</t>
  </si>
  <si>
    <t>Orchestration Run/1k</t>
  </si>
  <si>
    <t>Data movement Activity/h</t>
  </si>
  <si>
    <t>Pipeline Activity/h</t>
  </si>
  <si>
    <t>Weekly Cost</t>
  </si>
  <si>
    <t>Closest Price Gap</t>
  </si>
  <si>
    <t>Daily Bucket</t>
  </si>
  <si>
    <t>Weekly Bucket</t>
  </si>
  <si>
    <t>Monthly Bucket</t>
  </si>
  <si>
    <t>SKU</t>
  </si>
  <si>
    <t>CU</t>
  </si>
  <si>
    <t>Daily CU Minute Credit</t>
  </si>
  <si>
    <t>Weekly CU Minute Credit</t>
  </si>
  <si>
    <t>Monthly CU Minute Credit</t>
  </si>
  <si>
    <t>Pay As You Go Monthly</t>
  </si>
  <si>
    <t>Monthly 1 year RI @ 40%</t>
  </si>
  <si>
    <t>Type</t>
  </si>
  <si>
    <t>GBPerNode</t>
  </si>
  <si>
    <t>F2</t>
  </si>
  <si>
    <t>Parallelism (10 - 32)</t>
  </si>
  <si>
    <t>F4</t>
  </si>
  <si>
    <t>F8</t>
  </si>
  <si>
    <t>https://azure.microsoft.com/en-us/pricing/details/data-factory/data-pipeline/</t>
  </si>
  <si>
    <t>F16</t>
  </si>
  <si>
    <t>F32</t>
  </si>
  <si>
    <t>F64</t>
  </si>
  <si>
    <t>F128</t>
  </si>
  <si>
    <t>F256</t>
  </si>
  <si>
    <t>F512</t>
  </si>
  <si>
    <t>F1024</t>
  </si>
  <si>
    <t>F2048</t>
  </si>
  <si>
    <t>CU Per ADF vCore</t>
  </si>
  <si>
    <t>DW Multiplier Metrics</t>
  </si>
  <si>
    <t>Load Type</t>
  </si>
  <si>
    <t>Node Limit(GB)</t>
  </si>
  <si>
    <t>% of Tables</t>
  </si>
  <si>
    <t>% Storage</t>
  </si>
  <si>
    <t>#Nodes</t>
  </si>
  <si>
    <t>Job Nodes</t>
  </si>
  <si>
    <t>LH Complexity Multiplier</t>
  </si>
  <si>
    <t>DOP</t>
  </si>
  <si>
    <t>Igestion Frequency</t>
  </si>
  <si>
    <t>*Assuming F64 as Starting point for DW</t>
  </si>
  <si>
    <t>Power BI User Factor Multiplier (CU)</t>
  </si>
  <si>
    <t>Fabric SKU</t>
  </si>
  <si>
    <t>CU Base</t>
  </si>
  <si>
    <t>Polaris DQE Node CU Cost</t>
  </si>
  <si>
    <t>Polaris DQE Node CU Cost LH</t>
  </si>
  <si>
    <t>Spark Nodes</t>
  </si>
  <si>
    <t>Size</t>
  </si>
  <si>
    <t>vCore</t>
  </si>
  <si>
    <t>Memory GB</t>
  </si>
  <si>
    <t>CU Cost</t>
  </si>
  <si>
    <t>Process Memmory</t>
  </si>
  <si>
    <t>DW DQP MAX at SKU</t>
  </si>
  <si>
    <t>Small (4 vCore, 32 Mem)</t>
  </si>
  <si>
    <t>Large (16 vCore, 128 Mem)</t>
  </si>
  <si>
    <t>Power BI Embedded Factor Multiplier (CU)</t>
  </si>
  <si>
    <t>X-Large (32 vCore, 256 Mem)</t>
  </si>
  <si>
    <t>XX-Large (64 vCore, 512 Mem)</t>
  </si>
  <si>
    <t>Daily Incremental Control</t>
  </si>
  <si>
    <t>Average</t>
  </si>
  <si>
    <t>%</t>
  </si>
  <si>
    <t>Input Controls</t>
  </si>
  <si>
    <t>Choose Model</t>
  </si>
  <si>
    <t>Monthly</t>
  </si>
  <si>
    <t>Lean/Peak</t>
  </si>
  <si>
    <t>OneLakeCU Attribution</t>
  </si>
  <si>
    <t>CU Sec</t>
  </si>
  <si>
    <t>OneLake - Internal</t>
  </si>
  <si>
    <t>Read Operations - Internal</t>
  </si>
  <si>
    <t>(Read Data Size in MB / 4MB )/10000  x 104 = CU seconds</t>
  </si>
  <si>
    <t>Spark process the Gold Layer?</t>
  </si>
  <si>
    <t>Write Operations - Internal</t>
  </si>
  <si>
    <t>(Written Data Size in MB / 4MB )  x 1626/10000 = CU seconds</t>
  </si>
  <si>
    <t>Iterative File system Read operations - Internal</t>
  </si>
  <si>
    <t>Number or operations x 0.1626 = CU Seconds</t>
  </si>
  <si>
    <t>Iterative File system Write operations - Internal</t>
  </si>
  <si>
    <t>Number or operations x 1.300 = CU Seconds</t>
  </si>
  <si>
    <t>OneLake - External</t>
  </si>
  <si>
    <t>Read Operations – External</t>
  </si>
  <si>
    <t>(Read Data Size in MB / 4MB )  x 306/10000 = CU seconds</t>
  </si>
  <si>
    <t>Normal</t>
  </si>
  <si>
    <t>Write Operations – External</t>
  </si>
  <si>
    <t>(Written Data Size in MB / 4MB )  x 2650 /10000= CU seconds</t>
  </si>
  <si>
    <t>Iterative File system Read operations - External</t>
  </si>
  <si>
    <t>Number or operations x 0.4798 = CU Seconds</t>
  </si>
  <si>
    <t>Iterative File system Write operations - External</t>
  </si>
  <si>
    <t>Number or operations x 2.11795 = CU Seconds</t>
  </si>
  <si>
    <t>DW Endpoint Needed</t>
  </si>
  <si>
    <t>Delta Compression Ratio</t>
  </si>
  <si>
    <t>Microsoft 365 E5 Lincesed</t>
  </si>
  <si>
    <t>Additional Pro license needed</t>
  </si>
  <si>
    <t>PowerBi Embedded Needed</t>
  </si>
  <si>
    <t>Data Science usecase</t>
  </si>
  <si>
    <t>Lookup Bucket</t>
  </si>
  <si>
    <t>KQL Deployment</t>
  </si>
  <si>
    <t>OneLake Cache size available (GB)</t>
  </si>
  <si>
    <t>RAM (GB)</t>
  </si>
  <si>
    <t>KQL Usecase</t>
  </si>
  <si>
    <t>Extra Extra  Small</t>
  </si>
  <si>
    <t>Hot Cache</t>
  </si>
  <si>
    <t>Data Retention</t>
  </si>
  <si>
    <t>DutyCycle h</t>
  </si>
  <si>
    <t>Extra Small</t>
  </si>
  <si>
    <t>NOC Dashboard</t>
  </si>
  <si>
    <t>Control Centere usecase where Data is stale immediately and needs only to be summized over last three days, ad hoc investigations will span no longer than 30 days</t>
  </si>
  <si>
    <t>Small</t>
  </si>
  <si>
    <t>Manufacturing Telemetry</t>
  </si>
  <si>
    <t>Production line telemetry where data needs to be summized over a rolling 7 days and ad-hoc investigations need to take the last three months into consideration.</t>
  </si>
  <si>
    <t>Forensic Observability</t>
  </si>
  <si>
    <t>Forensic usecase where data is summized over 30 day periods and ad-hoc investigations need to take three years of data into consideration</t>
  </si>
  <si>
    <t>Large</t>
  </si>
  <si>
    <t>FSI Audit Observability</t>
  </si>
  <si>
    <t>FSI auditing with 3 months of summized data in dashboards with a 7 year regulatory compliance requirement.</t>
  </si>
  <si>
    <t>X-Large</t>
  </si>
  <si>
    <t>X-Large 2</t>
  </si>
  <si>
    <t>XX-Large</t>
  </si>
  <si>
    <t>Global Target Architecture</t>
  </si>
  <si>
    <t>Bronze %</t>
  </si>
  <si>
    <t>Silver %</t>
  </si>
  <si>
    <t>Gold %</t>
  </si>
  <si>
    <t>Full Analytic Usecase where we assume modern lakehouse pattern.</t>
  </si>
  <si>
    <t>Modern Data Warehouse</t>
  </si>
  <si>
    <t>Cloud Data Warehouse Analytics Pattern, Silver will be disabled and Bronze will be used as the Stage lakes for data ingestion, this pattern can contain Data Activator, Event Streams and KQL DB's</t>
  </si>
  <si>
    <t>Data Lakehouse-Spark Only</t>
  </si>
  <si>
    <t>Full Analytic Usecase with SPARK only workloads for data modeling - Synapse spark migration etc..</t>
  </si>
  <si>
    <t>Monitored Emiters</t>
  </si>
  <si>
    <t>Frequency (Minute)</t>
  </si>
  <si>
    <t>Scenario</t>
  </si>
  <si>
    <t>Activations</t>
  </si>
  <si>
    <t>Metric</t>
  </si>
  <si>
    <t>CU Minute</t>
  </si>
  <si>
    <t>Small Fleet monitoring Operation 100 Viechles Sending Telemetry every 5 minutes.</t>
  </si>
  <si>
    <t>Data Ingestion Per GB</t>
  </si>
  <si>
    <t>Building and environment operations 1500 IoT sensors Emiting data every 1 minute</t>
  </si>
  <si>
    <t>Event Processing Per Event</t>
  </si>
  <si>
    <t>Large Daily Bulk monitoring of 250,000 customer accounts for upcoming appointments</t>
  </si>
  <si>
    <t>Trigger Evaluations Per Trigger</t>
  </si>
  <si>
    <t>Global Enterprise with 5,000,000 assets evaluated every 60 minutes.</t>
  </si>
  <si>
    <t>Event stream Per Hour</t>
  </si>
  <si>
    <t>Data Traffic Per GB (Ingress+Egress)</t>
  </si>
  <si>
    <t>Job Processor per Hour</t>
  </si>
  <si>
    <t>Month-Days</t>
  </si>
  <si>
    <t>Week-Days</t>
  </si>
  <si>
    <t>Selected</t>
  </si>
  <si>
    <t>Base Cost Units</t>
  </si>
  <si>
    <t>CU PaYg Cost /h</t>
  </si>
  <si>
    <t>Power BI Pro License Cost</t>
  </si>
  <si>
    <t>Storage Per GiB Cost</t>
  </si>
  <si>
    <t>Premium Cache Data Stored per GiB</t>
  </si>
  <si>
    <t xml:space="preserve">OneLake BCDR storage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</si>
</sst>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quot;* #,##0.00_);_(&quot;$&quot;* \(#,##0.00\);_(&quot;$&quot;* &quot;-&quot;??_);_(@_)"/>
    <numFmt numFmtId="43" formatCode="_(* #,##0.00_);_(* \(#,##0.00\);_(* &quot;-&quot;??_);_(@_)"/>
    <numFmt numFmtId="164" formatCode="_-* #,##0.00_-;\-* #,##0.00_-;_-* &quot;-&quot;??_-;_-@_-"/>
    <numFmt numFmtId="165" formatCode="&quot;$&quot;#,##0.00"/>
    <numFmt numFmtId="166" formatCode="&quot;$&quot;\ 0.00"/>
    <numFmt numFmtId="167" formatCode="_(* #,##0_);_(* \(#,##0\);_(* &quot;-&quot;??_);_(@_)"/>
    <numFmt numFmtId="168" formatCode="_(&quot;$&quot;* #,##0_);_(&quot;$&quot;* \(#,##0\);_(&quot;$&quot;* &quot;-&quot;??_);_(@_)"/>
    <numFmt numFmtId="169" formatCode="&quot;$&quot;#,##0"/>
    <numFmt numFmtId="170" formatCode="&quot;$&quot;#,##0.000"/>
    <numFmt numFmtId="171" formatCode="&quot;$&quot;\ #,##0.00"/>
    <numFmt numFmtId="172" formatCode="_(* #,##0.0000000000000_);_(* \(#,##0.0000000000000\);_(* &quot;-&quot;??_);_(@_)"/>
    <numFmt numFmtId="173" formatCode="0.00000"/>
    <numFmt numFmtId="174" formatCode="_(* #,##0.000_);_(* \(#,##0.000\);_(* &quot;-&quot;??_);_(@_)"/>
    <numFmt numFmtId="175" formatCode="0.000000"/>
    <numFmt numFmtId="176" formatCode="#,##0.0"/>
    <numFmt numFmtId="177" formatCode="0\ &quot;H/Month&quot;"/>
    <numFmt numFmtId="178" formatCode="0.0%"/>
    <numFmt numFmtId="179" formatCode="&quot;&quot;"/>
    <numFmt numFmtId="180" formatCode="&quot;$&quot;#,##0.000_);[Red]\(&quot;$&quot;#,##0.000\)"/>
    <numFmt numFmtId="181" formatCode="0.0"/>
    <numFmt numFmtId="182" formatCode=";;"/>
  </numFmts>
  <fonts count="96" x14ac:knownFonts="1">
    <font>
      <sz val="11"/>
      <color theme="1"/>
      <name val="Aptos Narrow"/>
      <family val="2"/>
      <scheme val="minor"/>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Aptos Narrow"/>
      <family val="2"/>
      <scheme val="minor"/>
    </font>
    <font>
      <b/>
      <sz val="11"/>
      <color theme="1"/>
      <name val="Aptos Narrow"/>
      <family val="2"/>
      <scheme val="minor"/>
    </font>
    <font>
      <sz val="11"/>
      <color theme="0"/>
      <name val="Aptos Narrow"/>
      <family val="2"/>
      <scheme val="minor"/>
    </font>
    <font>
      <sz val="11"/>
      <color theme="1"/>
      <name val="Calibri"/>
      <family val="2"/>
    </font>
    <font>
      <sz val="11"/>
      <color theme="0"/>
      <name val="Calibri"/>
      <family val="2"/>
    </font>
    <font>
      <b/>
      <sz val="11"/>
      <color theme="0"/>
      <name val="Calibri"/>
      <family val="2"/>
    </font>
    <font>
      <u/>
      <sz val="11"/>
      <color theme="10"/>
      <name val="Aptos Narrow"/>
      <family val="2"/>
      <scheme val="minor"/>
    </font>
    <font>
      <b/>
      <sz val="11"/>
      <color theme="1"/>
      <name val="Calibri"/>
      <family val="2"/>
    </font>
    <font>
      <u/>
      <sz val="11"/>
      <color theme="10"/>
      <name val="Calibri"/>
      <family val="2"/>
    </font>
    <font>
      <b/>
      <sz val="11"/>
      <color theme="8"/>
      <name val="Calibri"/>
      <family val="2"/>
    </font>
    <font>
      <sz val="11"/>
      <color theme="1"/>
      <name val="Segoe UI"/>
      <family val="2"/>
    </font>
    <font>
      <sz val="18"/>
      <color theme="3"/>
      <name val="Aptos Display"/>
      <family val="2"/>
      <scheme val="major"/>
    </font>
    <font>
      <b/>
      <sz val="15"/>
      <color theme="3"/>
      <name val="Aptos Narrow"/>
      <family val="2"/>
      <scheme val="minor"/>
    </font>
    <font>
      <b/>
      <sz val="10"/>
      <name val="Arial"/>
      <family val="2"/>
    </font>
    <font>
      <sz val="10"/>
      <name val="Arial"/>
      <family val="2"/>
    </font>
    <font>
      <b/>
      <sz val="12"/>
      <color theme="8" tint="-0.499984740745262"/>
      <name val="Calibri"/>
      <family val="2"/>
    </font>
    <font>
      <b/>
      <i/>
      <u/>
      <sz val="12"/>
      <color rgb="FFFF0000"/>
      <name val="Calibri"/>
      <family val="2"/>
    </font>
    <font>
      <b/>
      <i/>
      <u/>
      <sz val="11"/>
      <color rgb="FFFF0000"/>
      <name val="Calibri"/>
      <family val="2"/>
    </font>
    <font>
      <b/>
      <sz val="14"/>
      <color theme="8" tint="-0.499984740745262"/>
      <name val="Calibri"/>
      <family val="2"/>
    </font>
    <font>
      <b/>
      <sz val="18"/>
      <color theme="8" tint="-0.249977111117893"/>
      <name val="Calibri"/>
      <family val="2"/>
    </font>
    <font>
      <sz val="11"/>
      <name val="Calibri"/>
      <family val="2"/>
    </font>
    <font>
      <i/>
      <sz val="11"/>
      <color rgb="FF7F7F7F"/>
      <name val="Aptos Narrow"/>
      <family val="2"/>
      <scheme val="minor"/>
    </font>
    <font>
      <b/>
      <sz val="18"/>
      <color theme="3"/>
      <name val="Arial"/>
      <family val="2"/>
    </font>
    <font>
      <sz val="22"/>
      <color rgb="FF44546A"/>
      <name val="Arial Black"/>
      <family val="2"/>
    </font>
    <font>
      <sz val="10"/>
      <color rgb="FFFF0000"/>
      <name val="Calibri"/>
      <family val="2"/>
    </font>
    <font>
      <sz val="12"/>
      <color theme="8" tint="-0.499984740745262"/>
      <name val="Calibri"/>
      <family val="2"/>
    </font>
    <font>
      <b/>
      <sz val="12"/>
      <color theme="0"/>
      <name val="Calibri"/>
      <family val="2"/>
    </font>
    <font>
      <b/>
      <sz val="12"/>
      <color theme="1" tint="0.34998626667073579"/>
      <name val="Arial"/>
      <family val="2"/>
    </font>
    <font>
      <b/>
      <sz val="11"/>
      <color rgb="FF00B0F0"/>
      <name val="Calibri"/>
      <family val="2"/>
    </font>
    <font>
      <sz val="11"/>
      <color theme="6" tint="0.39997558519241921"/>
      <name val="Calibri"/>
      <family val="2"/>
    </font>
    <font>
      <b/>
      <sz val="18"/>
      <color theme="3" tint="9.9978637043366805E-2"/>
      <name val="Calibri"/>
      <family val="2"/>
    </font>
    <font>
      <sz val="11"/>
      <color theme="1"/>
      <name val="Segoe UI Semilight"/>
      <family val="2"/>
    </font>
    <font>
      <sz val="22"/>
      <color rgb="FF44546A"/>
      <name val="Segoe UI Semilight"/>
      <family val="2"/>
    </font>
    <font>
      <sz val="12"/>
      <color theme="1"/>
      <name val="Segoe UI Semilight"/>
      <family val="2"/>
    </font>
    <font>
      <b/>
      <sz val="12"/>
      <color theme="1"/>
      <name val="Segoe UI Semilight"/>
      <family val="2"/>
    </font>
    <font>
      <b/>
      <sz val="12"/>
      <color theme="8"/>
      <name val="Segoe UI Semilight"/>
      <family val="2"/>
    </font>
    <font>
      <sz val="11"/>
      <color theme="3"/>
      <name val="Segoe UI Semilight"/>
      <family val="2"/>
    </font>
    <font>
      <sz val="11"/>
      <color theme="1" tint="0.499984740745262"/>
      <name val="Segoe UI Semilight"/>
      <family val="2"/>
    </font>
    <font>
      <b/>
      <sz val="12"/>
      <color theme="1" tint="0.499984740745262"/>
      <name val="Segoe UI Semilight"/>
      <family val="2"/>
    </font>
    <font>
      <sz val="11"/>
      <name val="Segoe UI Semilight"/>
      <family val="2"/>
    </font>
    <font>
      <sz val="11"/>
      <color rgb="FF0072C6"/>
      <name val="Segoe UI Semilight"/>
      <family val="2"/>
    </font>
    <font>
      <b/>
      <sz val="12"/>
      <color rgb="FF505050"/>
      <name val="Segoe UI Semibold"/>
      <family val="2"/>
    </font>
    <font>
      <b/>
      <sz val="12"/>
      <color theme="8" tint="-0.499984740745262"/>
      <name val="Segoe UI Semilight"/>
      <family val="2"/>
    </font>
    <font>
      <i/>
      <sz val="11"/>
      <color rgb="FF7F7F7F"/>
      <name val="Segoe UI Semilight"/>
      <family val="2"/>
    </font>
    <font>
      <b/>
      <sz val="12"/>
      <color rgb="FF505050"/>
      <name val="Segoe UI Semilight"/>
      <family val="2"/>
    </font>
    <font>
      <b/>
      <sz val="11"/>
      <color theme="8" tint="-0.499984740745262"/>
      <name val="Segoe UI Semilight"/>
      <family val="2"/>
    </font>
    <font>
      <i/>
      <sz val="12"/>
      <color rgb="FF0072C6"/>
      <name val="Segoe UI Semilight"/>
      <family val="2"/>
    </font>
    <font>
      <sz val="12"/>
      <color rgb="FF505050"/>
      <name val="Segoe UI Semilight"/>
      <family val="2"/>
    </font>
    <font>
      <sz val="12"/>
      <color theme="1"/>
      <name val="Calibri"/>
      <family val="2"/>
    </font>
    <font>
      <b/>
      <sz val="12"/>
      <color theme="3"/>
      <name val="Arial"/>
      <family val="2"/>
    </font>
    <font>
      <i/>
      <sz val="12"/>
      <color rgb="FF505050"/>
      <name val="Segoe UI Semilight"/>
      <family val="2"/>
    </font>
    <font>
      <b/>
      <sz val="12"/>
      <color theme="3"/>
      <name val="Segoe UI Semilight"/>
      <family val="2"/>
    </font>
    <font>
      <b/>
      <sz val="11"/>
      <color theme="1"/>
      <name val="Segoe UI Semilight"/>
      <family val="2"/>
    </font>
    <font>
      <sz val="12"/>
      <color rgb="FF505050"/>
      <name val="Segoe UI Semibold"/>
      <family val="2"/>
    </font>
    <font>
      <b/>
      <sz val="11"/>
      <color rgb="FF505050"/>
      <name val="Segoe UI Semilight"/>
      <family val="2"/>
    </font>
    <font>
      <sz val="11"/>
      <color rgb="FF505050"/>
      <name val="Segoe UI Semilight"/>
      <family val="2"/>
    </font>
    <font>
      <b/>
      <sz val="11"/>
      <color rgb="FFFFFFFF"/>
      <name val="Aptos"/>
      <family val="2"/>
    </font>
    <font>
      <b/>
      <sz val="11"/>
      <color rgb="FF000000"/>
      <name val="Aptos"/>
      <family val="2"/>
    </font>
    <font>
      <sz val="11"/>
      <color rgb="FF000000"/>
      <name val="Aptos"/>
      <family val="2"/>
    </font>
    <font>
      <b/>
      <sz val="11"/>
      <color theme="1"/>
      <name val="Aptos"/>
      <family val="2"/>
    </font>
    <font>
      <sz val="11"/>
      <color theme="1"/>
      <name val="Aptos"/>
      <family val="2"/>
    </font>
    <font>
      <sz val="14"/>
      <color rgb="FF505050"/>
      <name val="Segoe UI Semibold"/>
      <family val="2"/>
    </font>
    <font>
      <sz val="10"/>
      <color theme="1"/>
      <name val="Segoe UI"/>
      <family val="2"/>
    </font>
    <font>
      <b/>
      <sz val="26"/>
      <color theme="3"/>
      <name val="Segoe UI"/>
      <family val="2"/>
    </font>
    <font>
      <b/>
      <sz val="15"/>
      <color theme="3"/>
      <name val="Segoe UI"/>
      <family val="2"/>
    </font>
    <font>
      <b/>
      <sz val="10"/>
      <color theme="1"/>
      <name val="Segoe UI"/>
      <family val="2"/>
    </font>
    <font>
      <i/>
      <sz val="11"/>
      <color theme="1"/>
      <name val="Segoe UI Semibold"/>
      <family val="2"/>
    </font>
    <font>
      <i/>
      <sz val="12"/>
      <color rgb="FF084F6A"/>
      <name val="Segoe UI Semilight"/>
      <family val="2"/>
    </font>
    <font>
      <b/>
      <sz val="12"/>
      <color theme="1" tint="0.249977111117893"/>
      <name val="Segoe UI Semilight"/>
      <family val="2"/>
    </font>
    <font>
      <b/>
      <u/>
      <sz val="12"/>
      <name val="Segoe UI Semibold"/>
      <family val="2"/>
    </font>
    <font>
      <b/>
      <sz val="12"/>
      <name val="Segoe UI Semibold"/>
      <family val="2"/>
    </font>
    <font>
      <b/>
      <sz val="12"/>
      <name val="Calibri"/>
      <family val="2"/>
    </font>
    <font>
      <b/>
      <sz val="16"/>
      <color theme="6" tint="-0.249977111117893"/>
      <name val="Segoe UI"/>
      <family val="2"/>
    </font>
    <font>
      <sz val="11"/>
      <color theme="6" tint="-0.249977111117893"/>
      <name val="Segoe UI"/>
      <family val="2"/>
    </font>
    <font>
      <b/>
      <sz val="15"/>
      <color theme="3"/>
      <name val="Segoe UI Semibold"/>
      <family val="2"/>
    </font>
    <font>
      <u/>
      <sz val="11"/>
      <color theme="1"/>
      <name val="Segoe UI Semibold"/>
      <family val="2"/>
    </font>
    <font>
      <sz val="10"/>
      <color rgb="FFFF0000"/>
      <name val="Segoe UI"/>
      <family val="2"/>
    </font>
    <font>
      <sz val="8"/>
      <color theme="0"/>
      <name val="Segoe UI Semilight"/>
      <family val="2"/>
    </font>
    <font>
      <sz val="12"/>
      <color theme="1"/>
      <name val="Segoe UI Semibold"/>
      <family val="2"/>
    </font>
    <font>
      <sz val="11"/>
      <color theme="1" tint="0.34998626667073579"/>
      <name val="Segoe UI Semilight"/>
      <family val="2"/>
    </font>
    <font>
      <b/>
      <sz val="11"/>
      <color rgb="FF505050"/>
      <name val="Segoe UI Semibold"/>
      <family val="2"/>
    </font>
    <font>
      <sz val="11"/>
      <color theme="1"/>
      <name val="Segoe UI Semibold"/>
      <family val="2"/>
    </font>
    <font>
      <sz val="11"/>
      <color rgb="FF505050"/>
      <name val="Segoe UI Semibold"/>
      <family val="2"/>
    </font>
    <font>
      <b/>
      <sz val="12"/>
      <color theme="0"/>
      <name val="Segoe UI Semibold"/>
      <family val="2"/>
    </font>
    <font>
      <b/>
      <sz val="12"/>
      <color theme="1"/>
      <name val="Segoe UI Semibold"/>
      <family val="2"/>
    </font>
    <font>
      <b/>
      <sz val="11"/>
      <color theme="0"/>
      <name val="Segoe UI Semibold"/>
      <family val="2"/>
    </font>
    <font>
      <sz val="11"/>
      <color rgb="FFFF0000"/>
      <name val="Calibri"/>
      <family val="2"/>
    </font>
    <font>
      <sz val="11"/>
      <color rgb="FF00B050"/>
      <name val="Calibri"/>
      <family val="2"/>
    </font>
    <font>
      <sz val="11"/>
      <color rgb="FF008BF2"/>
      <name val="Calibri"/>
      <family val="2"/>
    </font>
    <font>
      <sz val="11"/>
      <color rgb="FFFF0000"/>
      <name val="Segoe UI Semilight"/>
      <family val="2"/>
    </font>
    <font>
      <sz val="8"/>
      <color rgb="FF000000"/>
      <name val="Segoe UI"/>
      <family val="2"/>
    </font>
  </fonts>
  <fills count="31">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3" tint="0.89999084444715716"/>
        <bgColor indexed="64"/>
      </patternFill>
    </fill>
    <fill>
      <patternFill patternType="solid">
        <fgColor rgb="FF92D050"/>
        <bgColor indexed="64"/>
      </patternFill>
    </fill>
    <fill>
      <patternFill patternType="solid">
        <fgColor theme="2" tint="-0.749992370372631"/>
        <bgColor indexed="64"/>
      </patternFill>
    </fill>
    <fill>
      <patternFill patternType="solid">
        <fgColor theme="0" tint="-4.9989318521683403E-2"/>
        <bgColor indexed="64"/>
      </patternFill>
    </fill>
    <fill>
      <patternFill patternType="solid">
        <fgColor theme="0"/>
        <bgColor indexed="64"/>
      </patternFill>
    </fill>
    <fill>
      <patternFill patternType="solid">
        <fgColor theme="8" tint="0.59996337778862885"/>
        <bgColor indexed="64"/>
      </patternFill>
    </fill>
    <fill>
      <patternFill patternType="solid">
        <fgColor rgb="FFECF2F8"/>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499984740745262"/>
        <bgColor indexed="64"/>
      </patternFill>
    </fill>
    <fill>
      <patternFill patternType="solid">
        <fgColor theme="3" tint="0.79998168889431442"/>
        <bgColor indexed="64"/>
      </patternFill>
    </fill>
    <fill>
      <patternFill patternType="solid">
        <fgColor rgb="FF00BCF2"/>
        <bgColor indexed="64"/>
      </patternFill>
    </fill>
    <fill>
      <patternFill patternType="solid">
        <fgColor rgb="FF008BF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rgb="FF196B24"/>
        <bgColor indexed="64"/>
      </patternFill>
    </fill>
    <fill>
      <patternFill patternType="solid">
        <fgColor rgb="FFC1F0C7"/>
        <bgColor indexed="64"/>
      </patternFill>
    </fill>
    <fill>
      <patternFill patternType="solid">
        <fgColor theme="3" tint="0.749992370372631"/>
        <bgColor indexed="64"/>
      </patternFill>
    </fill>
    <fill>
      <patternFill patternType="solid">
        <fgColor rgb="FFB8D3EF"/>
        <bgColor indexed="64"/>
      </patternFill>
    </fill>
    <fill>
      <patternFill patternType="solid">
        <fgColor rgb="FFF9F9F9"/>
        <bgColor indexed="64"/>
      </patternFill>
    </fill>
    <fill>
      <patternFill patternType="solid">
        <fgColor theme="3" tint="9.9978637043366805E-2"/>
        <bgColor indexed="64"/>
      </patternFill>
    </fill>
  </fills>
  <borders count="9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style="dashed">
        <color theme="1" tint="0.499984740745262"/>
      </top>
      <bottom style="dashed">
        <color theme="1" tint="0.499984740745262"/>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ashed">
        <color theme="1" tint="0.499984740745262"/>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thick">
        <color theme="4"/>
      </bottom>
      <diagonal/>
    </border>
    <border>
      <left style="medium">
        <color theme="0"/>
      </left>
      <right style="medium">
        <color theme="0"/>
      </right>
      <top style="medium">
        <color theme="0"/>
      </top>
      <bottom style="medium">
        <color theme="0"/>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right/>
      <top style="thin">
        <color theme="0" tint="-0.14999847407452621"/>
      </top>
      <bottom/>
      <diagonal/>
    </border>
    <border>
      <left/>
      <right/>
      <top/>
      <bottom style="thin">
        <color theme="0" tint="-0.14999847407452621"/>
      </bottom>
      <diagonal/>
    </border>
    <border>
      <left/>
      <right style="thin">
        <color theme="0" tint="-0.14996795556505021"/>
      </right>
      <top/>
      <bottom/>
      <diagonal/>
    </border>
    <border>
      <left style="thin">
        <color theme="0" tint="-0.14996795556505021"/>
      </left>
      <right/>
      <top/>
      <bottom/>
      <diagonal/>
    </border>
    <border>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bottom style="thin">
        <color theme="0" tint="-0.14996795556505021"/>
      </bottom>
      <diagonal/>
    </border>
    <border>
      <left/>
      <right/>
      <top/>
      <bottom style="thin">
        <color theme="2"/>
      </bottom>
      <diagonal/>
    </border>
    <border>
      <left style="thin">
        <color theme="0" tint="-4.9989318521683403E-2"/>
      </left>
      <right/>
      <top style="thin">
        <color theme="0" tint="-4.9989318521683403E-2"/>
      </top>
      <bottom style="thin">
        <color theme="0" tint="-4.9989318521683403E-2"/>
      </bottom>
      <diagonal/>
    </border>
    <border>
      <left style="medium">
        <color rgb="FF196B24"/>
      </left>
      <right/>
      <top style="medium">
        <color rgb="FF196B24"/>
      </top>
      <bottom style="medium">
        <color rgb="FF196B24"/>
      </bottom>
      <diagonal/>
    </border>
    <border>
      <left/>
      <right/>
      <top style="medium">
        <color rgb="FF196B24"/>
      </top>
      <bottom style="medium">
        <color rgb="FF196B24"/>
      </bottom>
      <diagonal/>
    </border>
    <border>
      <left/>
      <right style="medium">
        <color rgb="FF196B24"/>
      </right>
      <top style="medium">
        <color rgb="FF196B24"/>
      </top>
      <bottom style="medium">
        <color rgb="FF196B24"/>
      </bottom>
      <diagonal/>
    </border>
    <border>
      <left style="medium">
        <color rgb="FF47D459"/>
      </left>
      <right style="medium">
        <color rgb="FF47D459"/>
      </right>
      <top/>
      <bottom style="medium">
        <color rgb="FF47D459"/>
      </bottom>
      <diagonal/>
    </border>
    <border>
      <left/>
      <right style="medium">
        <color rgb="FF47D459"/>
      </right>
      <top/>
      <bottom style="medium">
        <color rgb="FF47D459"/>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tint="-4.9989318521683403E-2"/>
      </right>
      <top/>
      <bottom style="thin">
        <color theme="0" tint="-0.14996795556505021"/>
      </bottom>
      <diagonal/>
    </border>
    <border>
      <left/>
      <right style="thin">
        <color theme="0" tint="-4.9989318521683403E-2"/>
      </right>
      <top style="thin">
        <color theme="0" tint="-4.9989318521683403E-2"/>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0.14996795556505021"/>
      </bottom>
      <diagonal/>
    </border>
    <border>
      <left/>
      <right style="thin">
        <color theme="0" tint="-4.9989318521683403E-2"/>
      </right>
      <top/>
      <bottom/>
      <diagonal/>
    </border>
    <border>
      <left/>
      <right/>
      <top style="thin">
        <color theme="0" tint="-0.14996795556505021"/>
      </top>
      <bottom style="thin">
        <color theme="0" tint="-0.14999847407452621"/>
      </bottom>
      <diagonal/>
    </border>
    <border>
      <left/>
      <right/>
      <top style="thin">
        <color theme="0" tint="-0.14996795556505021"/>
      </top>
      <bottom/>
      <diagonal/>
    </border>
    <border>
      <left/>
      <right/>
      <top/>
      <bottom style="medium">
        <color theme="0"/>
      </bottom>
      <diagonal/>
    </border>
    <border>
      <left/>
      <right style="thin">
        <color theme="0"/>
      </right>
      <top/>
      <bottom style="medium">
        <color theme="0"/>
      </bottom>
      <diagonal/>
    </border>
    <border>
      <left/>
      <right style="thin">
        <color theme="0" tint="-4.9989318521683403E-2"/>
      </right>
      <top style="thin">
        <color theme="0" tint="-0.14993743705557422"/>
      </top>
      <bottom style="thin">
        <color theme="0" tint="-4.9989318521683403E-2"/>
      </bottom>
      <diagonal/>
    </border>
    <border>
      <left style="thin">
        <color theme="0" tint="-4.9989318521683403E-2"/>
      </left>
      <right style="thin">
        <color theme="0" tint="-4.9989318521683403E-2"/>
      </right>
      <top style="thin">
        <color theme="0" tint="-0.14993743705557422"/>
      </top>
      <bottom style="thin">
        <color theme="0" tint="-4.9989318521683403E-2"/>
      </bottom>
      <diagonal/>
    </border>
    <border>
      <left style="thin">
        <color theme="0" tint="-4.9989318521683403E-2"/>
      </left>
      <right style="thin">
        <color theme="0" tint="-0.14993743705557422"/>
      </right>
      <top style="thin">
        <color theme="0" tint="-0.14993743705557422"/>
      </top>
      <bottom style="thin">
        <color theme="0" tint="-4.9989318521683403E-2"/>
      </bottom>
      <diagonal/>
    </border>
    <border>
      <left/>
      <right style="thin">
        <color theme="0" tint="-0.14993743705557422"/>
      </right>
      <top style="thin">
        <color theme="0" tint="-4.9989318521683403E-2"/>
      </top>
      <bottom style="thin">
        <color theme="0" tint="-4.9989318521683403E-2"/>
      </bottom>
      <diagonal/>
    </border>
    <border>
      <left style="thin">
        <color theme="0" tint="-4.9989318521683403E-2"/>
      </left>
      <right style="thin">
        <color theme="0" tint="-0.14993743705557422"/>
      </right>
      <top style="thin">
        <color theme="0" tint="-4.9989318521683403E-2"/>
      </top>
      <bottom style="thin">
        <color theme="0" tint="-4.9989318521683403E-2"/>
      </bottom>
      <diagonal/>
    </border>
    <border>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0.14993743705557422"/>
      </right>
      <top style="thin">
        <color theme="0" tint="-4.9989318521683403E-2"/>
      </top>
      <bottom/>
      <diagonal/>
    </border>
    <border>
      <left style="thin">
        <color theme="0" tint="-0.14990691854609822"/>
      </left>
      <right style="thin">
        <color theme="0" tint="-0.14993743705557422"/>
      </right>
      <top style="thin">
        <color theme="0" tint="-0.14990691854609822"/>
      </top>
      <bottom/>
      <diagonal/>
    </border>
    <border>
      <left/>
      <right style="thin">
        <color theme="0" tint="-4.9989318521683403E-2"/>
      </right>
      <top style="thin">
        <color theme="0" tint="-0.14990691854609822"/>
      </top>
      <bottom style="thin">
        <color theme="0" tint="-4.9989318521683403E-2"/>
      </bottom>
      <diagonal/>
    </border>
    <border>
      <left style="thin">
        <color theme="0" tint="-4.9989318521683403E-2"/>
      </left>
      <right style="thin">
        <color theme="0" tint="-4.9989318521683403E-2"/>
      </right>
      <top style="thin">
        <color theme="0" tint="-0.14990691854609822"/>
      </top>
      <bottom style="thin">
        <color theme="0" tint="-4.9989318521683403E-2"/>
      </bottom>
      <diagonal/>
    </border>
    <border>
      <left style="thin">
        <color theme="0" tint="-4.9989318521683403E-2"/>
      </left>
      <right/>
      <top style="thin">
        <color theme="0" tint="-0.14990691854609822"/>
      </top>
      <bottom style="thin">
        <color theme="0" tint="-4.9989318521683403E-2"/>
      </bottom>
      <diagonal/>
    </border>
    <border>
      <left/>
      <right style="thin">
        <color theme="0" tint="-0.14990691854609822"/>
      </right>
      <top style="thin">
        <color theme="0" tint="-0.14990691854609822"/>
      </top>
      <bottom style="thin">
        <color theme="0" tint="-4.9989318521683403E-2"/>
      </bottom>
      <diagonal/>
    </border>
    <border>
      <left style="thin">
        <color theme="0" tint="-0.14990691854609822"/>
      </left>
      <right style="thin">
        <color theme="0" tint="-0.14993743705557422"/>
      </right>
      <top/>
      <bottom/>
      <diagonal/>
    </border>
    <border>
      <left style="thin">
        <color theme="0" tint="-4.9989318521683403E-2"/>
      </left>
      <right style="thin">
        <color theme="0" tint="-0.14990691854609822"/>
      </right>
      <top style="thin">
        <color theme="0" tint="-4.9989318521683403E-2"/>
      </top>
      <bottom style="thin">
        <color theme="0" tint="-4.9989318521683403E-2"/>
      </bottom>
      <diagonal/>
    </border>
    <border>
      <left style="thin">
        <color theme="0" tint="-0.14990691854609822"/>
      </left>
      <right style="thin">
        <color theme="0" tint="-0.14993743705557422"/>
      </right>
      <top/>
      <bottom style="thin">
        <color theme="0" tint="-0.14990691854609822"/>
      </bottom>
      <diagonal/>
    </border>
    <border>
      <left/>
      <right style="thin">
        <color theme="0" tint="-4.9989318521683403E-2"/>
      </right>
      <top style="thin">
        <color theme="0" tint="-4.9989318521683403E-2"/>
      </top>
      <bottom style="thin">
        <color theme="0" tint="-0.14990691854609822"/>
      </bottom>
      <diagonal/>
    </border>
    <border>
      <left style="thin">
        <color theme="0" tint="-4.9989318521683403E-2"/>
      </left>
      <right style="thin">
        <color theme="0" tint="-4.9989318521683403E-2"/>
      </right>
      <top style="thin">
        <color theme="0" tint="-4.9989318521683403E-2"/>
      </top>
      <bottom style="thin">
        <color theme="0" tint="-0.14990691854609822"/>
      </bottom>
      <diagonal/>
    </border>
    <border>
      <left style="thin">
        <color theme="0" tint="-4.9989318521683403E-2"/>
      </left>
      <right style="thin">
        <color theme="0" tint="-0.14990691854609822"/>
      </right>
      <top style="thin">
        <color theme="0" tint="-4.9989318521683403E-2"/>
      </top>
      <bottom style="thin">
        <color theme="0" tint="-0.1499069185460982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20">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11" fillId="0" borderId="0" applyNumberForma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16" fillId="0" borderId="0" applyNumberFormat="0" applyFill="0" applyBorder="0" applyAlignment="0" applyProtection="0"/>
    <xf numFmtId="0" fontId="18" fillId="15" borderId="36" applyNumberFormat="0">
      <alignment horizontal="center" wrapText="1"/>
      <protection hidden="1"/>
    </xf>
    <xf numFmtId="0" fontId="19" fillId="16" borderId="7" applyNumberFormat="0">
      <alignment vertical="center" wrapText="1"/>
    </xf>
    <xf numFmtId="0" fontId="4"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13" fillId="0" borderId="0" applyNumberFormat="0" applyFill="0" applyBorder="0" applyAlignment="0" applyProtection="0"/>
    <xf numFmtId="0" fontId="5" fillId="0" borderId="0"/>
    <xf numFmtId="0" fontId="2" fillId="0" borderId="0"/>
    <xf numFmtId="0" fontId="26" fillId="0" borderId="0" applyNumberFormat="0" applyFill="0" applyBorder="0" applyAlignment="0" applyProtection="0"/>
    <xf numFmtId="0" fontId="17" fillId="0" borderId="35" applyNumberFormat="0" applyFill="0" applyAlignment="0" applyProtection="0"/>
    <xf numFmtId="9" fontId="5" fillId="0" borderId="0" applyFont="0" applyFill="0" applyBorder="0" applyAlignment="0" applyProtection="0"/>
  </cellStyleXfs>
  <cellXfs count="643">
    <xf numFmtId="0" fontId="0" fillId="0" borderId="0" xfId="0"/>
    <xf numFmtId="0" fontId="9" fillId="5" borderId="2" xfId="0" applyFont="1" applyFill="1" applyBorder="1"/>
    <xf numFmtId="0" fontId="9" fillId="5" borderId="4" xfId="0" applyFont="1" applyFill="1" applyBorder="1"/>
    <xf numFmtId="167" fontId="59" fillId="0" borderId="48" xfId="5" applyNumberFormat="1" applyFont="1" applyBorder="1" applyAlignment="1" applyProtection="1">
      <alignment horizontal="center" vertical="center"/>
    </xf>
    <xf numFmtId="171" fontId="59" fillId="14" borderId="48" xfId="5" applyNumberFormat="1" applyFont="1" applyFill="1" applyBorder="1" applyAlignment="1" applyProtection="1">
      <alignment vertical="center"/>
    </xf>
    <xf numFmtId="167" fontId="60" fillId="0" borderId="46" xfId="5" applyNumberFormat="1" applyFont="1" applyBorder="1" applyAlignment="1" applyProtection="1">
      <alignment horizontal="center" vertical="center"/>
    </xf>
    <xf numFmtId="169" fontId="60" fillId="0" borderId="46" xfId="6" applyNumberFormat="1" applyFont="1" applyBorder="1" applyAlignment="1" applyProtection="1">
      <alignment horizontal="right" vertical="center"/>
    </xf>
    <xf numFmtId="0" fontId="0" fillId="11" borderId="1" xfId="0" applyFill="1" applyBorder="1"/>
    <xf numFmtId="0" fontId="68" fillId="0" borderId="0" xfId="7" applyFont="1" applyAlignment="1">
      <alignment horizontal="left" vertical="center" wrapText="1"/>
    </xf>
    <xf numFmtId="0" fontId="15" fillId="0" borderId="0" xfId="15" applyFont="1"/>
    <xf numFmtId="3" fontId="79" fillId="0" borderId="0" xfId="18" applyNumberFormat="1" applyFont="1" applyBorder="1" applyAlignment="1">
      <alignment horizontal="left" vertical="center" indent="2"/>
    </xf>
    <xf numFmtId="3" fontId="69" fillId="0" borderId="0" xfId="18" applyNumberFormat="1" applyFont="1" applyBorder="1" applyAlignment="1">
      <alignment horizontal="left" vertical="center" indent="2"/>
    </xf>
    <xf numFmtId="0" fontId="67" fillId="29" borderId="0" xfId="15" applyFont="1" applyFill="1" applyAlignment="1">
      <alignment horizontal="left" vertical="center" wrapText="1"/>
    </xf>
    <xf numFmtId="0" fontId="67" fillId="0" borderId="0" xfId="15" applyFont="1"/>
    <xf numFmtId="0" fontId="71" fillId="0" borderId="0" xfId="15" applyFont="1" applyAlignment="1">
      <alignment horizontal="left" vertical="center" wrapText="1"/>
    </xf>
    <xf numFmtId="0" fontId="67" fillId="0" borderId="0" xfId="15" applyFont="1" applyAlignment="1">
      <alignment horizontal="left" vertical="top" wrapText="1"/>
    </xf>
    <xf numFmtId="0" fontId="67" fillId="0" borderId="0" xfId="15" applyFont="1" applyAlignment="1">
      <alignment horizontal="left" vertical="center" wrapText="1"/>
    </xf>
    <xf numFmtId="0" fontId="15" fillId="0" borderId="0" xfId="15" applyFont="1" applyAlignment="1">
      <alignment horizontal="left" vertical="center" indent="2"/>
    </xf>
    <xf numFmtId="0" fontId="70" fillId="0" borderId="0" xfId="15" applyFont="1" applyAlignment="1">
      <alignment horizontal="left" vertical="center" indent="2"/>
    </xf>
    <xf numFmtId="0" fontId="70" fillId="29" borderId="44" xfId="15" applyFont="1" applyFill="1" applyBorder="1" applyAlignment="1">
      <alignment horizontal="justify" vertical="center"/>
    </xf>
    <xf numFmtId="0" fontId="67" fillId="29" borderId="44" xfId="15" applyFont="1" applyFill="1" applyBorder="1" applyAlignment="1">
      <alignment horizontal="left" vertical="top"/>
    </xf>
    <xf numFmtId="3" fontId="69" fillId="0" borderId="0" xfId="18" applyNumberFormat="1" applyFont="1" applyBorder="1" applyAlignment="1">
      <alignment vertical="center"/>
    </xf>
    <xf numFmtId="0" fontId="77" fillId="22" borderId="0" xfId="15" applyFont="1" applyFill="1" applyAlignment="1">
      <alignment horizontal="center" vertical="center" wrapText="1"/>
    </xf>
    <xf numFmtId="0" fontId="78" fillId="22" borderId="0" xfId="15" applyFont="1" applyFill="1" applyAlignment="1">
      <alignment horizontal="left" vertical="center" wrapText="1"/>
    </xf>
    <xf numFmtId="44" fontId="60" fillId="14" borderId="46" xfId="2" applyFont="1" applyFill="1" applyBorder="1" applyAlignment="1" applyProtection="1">
      <alignment vertical="center"/>
    </xf>
    <xf numFmtId="44" fontId="60" fillId="0" borderId="46" xfId="2" applyFont="1" applyBorder="1" applyAlignment="1" applyProtection="1">
      <alignment horizontal="right" vertical="center"/>
    </xf>
    <xf numFmtId="44" fontId="60" fillId="0" borderId="46" xfId="2" applyFont="1" applyBorder="1" applyAlignment="1" applyProtection="1">
      <alignment vertical="center"/>
    </xf>
    <xf numFmtId="180" fontId="0" fillId="2" borderId="1" xfId="0" applyNumberFormat="1" applyFill="1" applyBorder="1" applyProtection="1">
      <protection locked="0"/>
    </xf>
    <xf numFmtId="44" fontId="85" fillId="14" borderId="48" xfId="2" applyFont="1" applyFill="1" applyBorder="1" applyAlignment="1" applyProtection="1">
      <alignment vertical="center"/>
    </xf>
    <xf numFmtId="167" fontId="85" fillId="0" borderId="48" xfId="5" applyNumberFormat="1" applyFont="1" applyBorder="1" applyAlignment="1" applyProtection="1">
      <alignment horizontal="center" vertical="center"/>
    </xf>
    <xf numFmtId="44" fontId="85" fillId="0" borderId="48" xfId="2" applyFont="1" applyBorder="1" applyProtection="1"/>
    <xf numFmtId="0" fontId="0" fillId="0" borderId="0" xfId="0" applyProtection="1">
      <protection locked="0"/>
    </xf>
    <xf numFmtId="3" fontId="60" fillId="0" borderId="46" xfId="5" applyNumberFormat="1" applyFont="1" applyBorder="1" applyAlignment="1" applyProtection="1">
      <alignment horizontal="center" vertical="center"/>
      <protection locked="0"/>
    </xf>
    <xf numFmtId="44" fontId="58" fillId="13" borderId="0" xfId="2" applyFont="1" applyFill="1" applyAlignment="1" applyProtection="1">
      <alignment horizontal="center" vertical="center"/>
    </xf>
    <xf numFmtId="44" fontId="60" fillId="0" borderId="46" xfId="2" applyFont="1" applyBorder="1" applyAlignment="1" applyProtection="1">
      <alignment horizontal="center" vertical="center"/>
    </xf>
    <xf numFmtId="44" fontId="60" fillId="0" borderId="0" xfId="2" applyFont="1" applyAlignment="1" applyProtection="1">
      <alignment vertical="center"/>
    </xf>
    <xf numFmtId="0" fontId="36" fillId="14" borderId="0" xfId="15" applyFont="1" applyFill="1" applyProtection="1">
      <protection locked="0" hidden="1"/>
    </xf>
    <xf numFmtId="0" fontId="36" fillId="14" borderId="0" xfId="15" applyFont="1" applyFill="1" applyProtection="1">
      <protection hidden="1"/>
    </xf>
    <xf numFmtId="0" fontId="2" fillId="0" borderId="0" xfId="16" applyProtection="1">
      <protection hidden="1"/>
    </xf>
    <xf numFmtId="0" fontId="2" fillId="0" borderId="0" xfId="16" applyProtection="1">
      <protection locked="0" hidden="1"/>
    </xf>
    <xf numFmtId="0" fontId="28" fillId="0" borderId="0" xfId="7" applyFont="1" applyFill="1" applyBorder="1" applyProtection="1">
      <protection hidden="1"/>
    </xf>
    <xf numFmtId="0" fontId="66" fillId="0" borderId="0" xfId="15" applyFont="1" applyProtection="1">
      <protection hidden="1"/>
    </xf>
    <xf numFmtId="0" fontId="0" fillId="0" borderId="0" xfId="0" applyProtection="1">
      <protection locked="0" hidden="1"/>
    </xf>
    <xf numFmtId="0" fontId="26" fillId="0" borderId="0" xfId="17" applyFill="1" applyAlignment="1" applyProtection="1">
      <alignment vertical="center" wrapText="1"/>
      <protection hidden="1"/>
    </xf>
    <xf numFmtId="0" fontId="26" fillId="0" borderId="0" xfId="17" applyAlignment="1" applyProtection="1">
      <alignment vertical="center" wrapText="1"/>
      <protection locked="0" hidden="1"/>
    </xf>
    <xf numFmtId="0" fontId="72" fillId="0" borderId="0" xfId="0" applyFont="1" applyProtection="1">
      <protection hidden="1"/>
    </xf>
    <xf numFmtId="0" fontId="26" fillId="0" borderId="0" xfId="17" applyAlignment="1" applyProtection="1">
      <alignment vertical="center" wrapText="1"/>
      <protection hidden="1"/>
    </xf>
    <xf numFmtId="0" fontId="25" fillId="0" borderId="0" xfId="15" applyFont="1" applyProtection="1">
      <protection hidden="1"/>
    </xf>
    <xf numFmtId="0" fontId="74" fillId="0" borderId="0" xfId="15" applyFont="1" applyAlignment="1" applyProtection="1">
      <alignment horizontal="center" vertical="center" wrapText="1"/>
      <protection locked="0" hidden="1"/>
    </xf>
    <xf numFmtId="0" fontId="0" fillId="0" borderId="0" xfId="0" applyProtection="1">
      <protection hidden="1"/>
    </xf>
    <xf numFmtId="0" fontId="49" fillId="20" borderId="55" xfId="15" applyFont="1" applyFill="1" applyBorder="1" applyAlignment="1" applyProtection="1">
      <alignment horizontal="center" vertical="center"/>
      <protection locked="0" hidden="1"/>
    </xf>
    <xf numFmtId="0" fontId="48" fillId="0" borderId="0" xfId="17" applyFont="1" applyAlignment="1" applyProtection="1">
      <alignment vertical="center" wrapText="1"/>
      <protection hidden="1"/>
    </xf>
    <xf numFmtId="3" fontId="49" fillId="20" borderId="53" xfId="15" applyNumberFormat="1" applyFont="1" applyFill="1" applyBorder="1" applyAlignment="1" applyProtection="1">
      <alignment horizontal="center" vertical="center"/>
      <protection locked="0" hidden="1"/>
    </xf>
    <xf numFmtId="0" fontId="52" fillId="14" borderId="0" xfId="15" applyFont="1" applyFill="1" applyAlignment="1" applyProtection="1">
      <alignment horizontal="left" vertical="center" indent="2"/>
      <protection hidden="1"/>
    </xf>
    <xf numFmtId="9" fontId="49" fillId="20" borderId="55" xfId="19" applyFont="1" applyFill="1" applyBorder="1" applyAlignment="1" applyProtection="1">
      <alignment horizontal="center" vertical="center"/>
      <protection locked="0" hidden="1"/>
    </xf>
    <xf numFmtId="9" fontId="49" fillId="20" borderId="52" xfId="19" applyFont="1" applyFill="1" applyBorder="1" applyAlignment="1" applyProtection="1">
      <alignment horizontal="center" vertical="center"/>
      <protection locked="0" hidden="1"/>
    </xf>
    <xf numFmtId="0" fontId="53" fillId="14" borderId="0" xfId="15" applyFont="1" applyFill="1" applyProtection="1">
      <protection hidden="1"/>
    </xf>
    <xf numFmtId="0" fontId="38" fillId="14" borderId="0" xfId="15" applyFont="1" applyFill="1" applyProtection="1">
      <protection locked="0" hidden="1"/>
    </xf>
    <xf numFmtId="0" fontId="52" fillId="14" borderId="0" xfId="15" applyFont="1" applyFill="1" applyProtection="1">
      <protection hidden="1"/>
    </xf>
    <xf numFmtId="0" fontId="53" fillId="0" borderId="0" xfId="15" applyFont="1" applyProtection="1">
      <protection hidden="1"/>
    </xf>
    <xf numFmtId="3" fontId="32" fillId="0" borderId="0" xfId="18" applyNumberFormat="1" applyFont="1" applyBorder="1" applyProtection="1">
      <protection hidden="1"/>
    </xf>
    <xf numFmtId="3" fontId="54" fillId="0" borderId="0" xfId="18" applyNumberFormat="1" applyFont="1" applyBorder="1" applyProtection="1">
      <protection hidden="1"/>
    </xf>
    <xf numFmtId="3" fontId="56" fillId="0" borderId="0" xfId="18" applyNumberFormat="1" applyFont="1" applyBorder="1" applyProtection="1">
      <protection locked="0" hidden="1"/>
    </xf>
    <xf numFmtId="3" fontId="27" fillId="0" borderId="0" xfId="18" applyNumberFormat="1" applyFont="1" applyBorder="1" applyProtection="1">
      <protection locked="0" hidden="1"/>
    </xf>
    <xf numFmtId="3" fontId="49" fillId="0" borderId="0" xfId="18" applyNumberFormat="1" applyFont="1" applyBorder="1" applyProtection="1">
      <protection hidden="1"/>
    </xf>
    <xf numFmtId="0" fontId="75" fillId="0" borderId="0" xfId="15" applyFont="1" applyAlignment="1" applyProtection="1">
      <alignment horizontal="center" vertical="center"/>
      <protection locked="0" hidden="1"/>
    </xf>
    <xf numFmtId="0" fontId="25" fillId="0" borderId="0" xfId="16" applyFont="1" applyProtection="1">
      <protection locked="0" hidden="1"/>
    </xf>
    <xf numFmtId="0" fontId="49" fillId="20" borderId="53" xfId="15" applyFont="1" applyFill="1" applyBorder="1" applyAlignment="1" applyProtection="1">
      <alignment horizontal="center" vertical="center"/>
      <protection locked="0" hidden="1"/>
    </xf>
    <xf numFmtId="0" fontId="47" fillId="28" borderId="55" xfId="15" applyFont="1" applyFill="1" applyBorder="1" applyAlignment="1" applyProtection="1">
      <alignment horizontal="center" vertical="center"/>
      <protection locked="0" hidden="1"/>
    </xf>
    <xf numFmtId="0" fontId="51" fillId="14" borderId="0" xfId="15" applyFont="1" applyFill="1" applyProtection="1">
      <protection hidden="1"/>
    </xf>
    <xf numFmtId="0" fontId="55" fillId="14" borderId="0" xfId="15" applyFont="1" applyFill="1" applyProtection="1">
      <protection hidden="1"/>
    </xf>
    <xf numFmtId="0" fontId="38" fillId="14" borderId="0" xfId="15" applyFont="1" applyFill="1" applyAlignment="1" applyProtection="1">
      <alignment horizontal="left" vertical="center" indent="1"/>
      <protection locked="0" hidden="1"/>
    </xf>
    <xf numFmtId="0" fontId="52" fillId="14" borderId="0" xfId="15" applyFont="1" applyFill="1" applyAlignment="1" applyProtection="1">
      <alignment horizontal="left" vertical="center" wrapText="1" indent="1"/>
      <protection hidden="1"/>
    </xf>
    <xf numFmtId="0" fontId="49" fillId="20" borderId="76" xfId="15" applyFont="1" applyFill="1" applyBorder="1" applyAlignment="1" applyProtection="1">
      <alignment horizontal="center" vertical="center"/>
      <protection locked="0" hidden="1"/>
    </xf>
    <xf numFmtId="0" fontId="49" fillId="20" borderId="77" xfId="15" applyFont="1" applyFill="1" applyBorder="1" applyAlignment="1" applyProtection="1">
      <alignment horizontal="center" vertical="center"/>
      <protection locked="0" hidden="1"/>
    </xf>
    <xf numFmtId="0" fontId="49" fillId="20" borderId="79" xfId="15" applyFont="1" applyFill="1" applyBorder="1" applyAlignment="1" applyProtection="1">
      <alignment horizontal="center" vertical="center"/>
      <protection locked="0" hidden="1"/>
    </xf>
    <xf numFmtId="0" fontId="49" fillId="20" borderId="81" xfId="19" applyNumberFormat="1" applyFont="1" applyFill="1" applyBorder="1" applyAlignment="1" applyProtection="1">
      <alignment horizontal="center" vertical="center"/>
      <protection locked="0" hidden="1"/>
    </xf>
    <xf numFmtId="1" fontId="49" fillId="20" borderId="81" xfId="19" applyNumberFormat="1" applyFont="1" applyFill="1" applyBorder="1" applyAlignment="1" applyProtection="1">
      <alignment horizontal="center" vertical="center"/>
      <protection locked="0" hidden="1"/>
    </xf>
    <xf numFmtId="1" fontId="49" fillId="20" borderId="82" xfId="19" applyNumberFormat="1" applyFont="1" applyFill="1" applyBorder="1" applyAlignment="1" applyProtection="1">
      <alignment horizontal="center" vertical="center"/>
      <protection locked="0" hidden="1"/>
    </xf>
    <xf numFmtId="9" fontId="49" fillId="20" borderId="85" xfId="19" applyFont="1" applyFill="1" applyBorder="1" applyAlignment="1" applyProtection="1">
      <alignment horizontal="center" vertical="center"/>
      <protection locked="0" hidden="1"/>
    </xf>
    <xf numFmtId="0" fontId="49" fillId="20" borderId="55" xfId="19" applyNumberFormat="1" applyFont="1" applyFill="1" applyBorder="1" applyAlignment="1" applyProtection="1">
      <alignment horizontal="center" vertical="center"/>
      <protection locked="0" hidden="1"/>
    </xf>
    <xf numFmtId="0" fontId="49" fillId="20" borderId="89" xfId="19" applyNumberFormat="1" applyFont="1" applyFill="1" applyBorder="1" applyAlignment="1" applyProtection="1">
      <alignment horizontal="center" vertical="center"/>
      <protection locked="0" hidden="1"/>
    </xf>
    <xf numFmtId="0" fontId="49" fillId="20" borderId="92" xfId="19" applyNumberFormat="1" applyFont="1" applyFill="1" applyBorder="1" applyAlignment="1" applyProtection="1">
      <alignment horizontal="center" vertical="center"/>
      <protection locked="0" hidden="1"/>
    </xf>
    <xf numFmtId="0" fontId="49" fillId="20" borderId="93" xfId="19" applyNumberFormat="1" applyFont="1" applyFill="1" applyBorder="1" applyAlignment="1" applyProtection="1">
      <alignment horizontal="center" vertical="center"/>
      <protection locked="0" hidden="1"/>
    </xf>
    <xf numFmtId="0" fontId="44" fillId="0" borderId="0" xfId="15" applyFont="1" applyProtection="1">
      <protection hidden="1"/>
    </xf>
    <xf numFmtId="0" fontId="49" fillId="20" borderId="69" xfId="15" applyFont="1" applyFill="1" applyBorder="1" applyAlignment="1" applyProtection="1">
      <alignment horizontal="center" vertical="center"/>
      <protection locked="0" hidden="1"/>
    </xf>
    <xf numFmtId="0" fontId="50" fillId="14" borderId="0" xfId="15" applyFont="1" applyFill="1" applyAlignment="1" applyProtection="1">
      <alignment horizontal="center" vertical="center"/>
      <protection locked="0" hidden="1"/>
    </xf>
    <xf numFmtId="0" fontId="20" fillId="14" borderId="0" xfId="15" applyFont="1" applyFill="1" applyAlignment="1" applyProtection="1">
      <alignment horizontal="center" vertical="center"/>
      <protection locked="0" hidden="1"/>
    </xf>
    <xf numFmtId="0" fontId="2" fillId="14" borderId="0" xfId="15" applyFont="1" applyFill="1" applyProtection="1">
      <protection hidden="1"/>
    </xf>
    <xf numFmtId="0" fontId="2" fillId="8" borderId="0" xfId="16" applyFill="1" applyProtection="1">
      <protection hidden="1"/>
    </xf>
    <xf numFmtId="0" fontId="36" fillId="14" borderId="0" xfId="15" applyFont="1" applyFill="1" applyAlignment="1" applyProtection="1">
      <alignment horizontal="center"/>
      <protection locked="0" hidden="1"/>
    </xf>
    <xf numFmtId="0" fontId="2" fillId="14" borderId="0" xfId="15" applyFont="1" applyFill="1" applyProtection="1">
      <protection locked="0" hidden="1"/>
    </xf>
    <xf numFmtId="0" fontId="2" fillId="0" borderId="0" xfId="15" applyFont="1" applyProtection="1">
      <protection hidden="1"/>
    </xf>
    <xf numFmtId="0" fontId="36" fillId="0" borderId="0" xfId="15" applyFont="1" applyProtection="1">
      <protection locked="0" hidden="1"/>
    </xf>
    <xf numFmtId="0" fontId="36" fillId="0" borderId="0" xfId="0" applyFont="1" applyProtection="1">
      <protection locked="0" hidden="1"/>
    </xf>
    <xf numFmtId="0" fontId="37" fillId="22" borderId="0" xfId="7" applyFont="1" applyFill="1" applyBorder="1" applyProtection="1">
      <protection locked="0" hidden="1"/>
    </xf>
    <xf numFmtId="0" fontId="36" fillId="22" borderId="0" xfId="15" applyFont="1" applyFill="1" applyProtection="1">
      <protection locked="0" hidden="1"/>
    </xf>
    <xf numFmtId="0" fontId="36" fillId="22" borderId="0" xfId="16" applyFont="1" applyFill="1" applyProtection="1">
      <protection locked="0" hidden="1"/>
    </xf>
    <xf numFmtId="0" fontId="37" fillId="14" borderId="0" xfId="7" applyFont="1" applyFill="1" applyBorder="1" applyProtection="1">
      <protection locked="0" hidden="1"/>
    </xf>
    <xf numFmtId="0" fontId="36" fillId="14" borderId="8" xfId="15" applyFont="1" applyFill="1" applyBorder="1" applyProtection="1">
      <protection locked="0" hidden="1"/>
    </xf>
    <xf numFmtId="0" fontId="36" fillId="14" borderId="0" xfId="16" applyFont="1" applyFill="1" applyProtection="1">
      <protection locked="0" hidden="1"/>
    </xf>
    <xf numFmtId="0" fontId="38" fillId="9" borderId="73" xfId="15" applyFont="1" applyFill="1" applyBorder="1" applyAlignment="1" applyProtection="1">
      <alignment horizontal="left" vertical="center"/>
      <protection locked="0" hidden="1"/>
    </xf>
    <xf numFmtId="0" fontId="89" fillId="9" borderId="73" xfId="15" applyFont="1" applyFill="1" applyBorder="1" applyAlignment="1" applyProtection="1">
      <alignment horizontal="left" vertical="center"/>
      <protection locked="0" hidden="1"/>
    </xf>
    <xf numFmtId="0" fontId="39" fillId="9" borderId="73" xfId="15" applyFont="1" applyFill="1" applyBorder="1" applyAlignment="1" applyProtection="1">
      <alignment horizontal="left" vertical="center"/>
      <protection locked="0" hidden="1"/>
    </xf>
    <xf numFmtId="0" fontId="38" fillId="9" borderId="74" xfId="15" applyFont="1" applyFill="1" applyBorder="1" applyAlignment="1" applyProtection="1">
      <alignment horizontal="left" vertical="center"/>
      <protection locked="0" hidden="1"/>
    </xf>
    <xf numFmtId="0" fontId="38" fillId="0" borderId="73" xfId="15" applyFont="1" applyBorder="1" applyAlignment="1" applyProtection="1">
      <alignment horizontal="left" vertical="center"/>
      <protection locked="0" hidden="1"/>
    </xf>
    <xf numFmtId="0" fontId="39" fillId="0" borderId="13" xfId="15" applyFont="1" applyBorder="1" applyProtection="1">
      <protection locked="0" hidden="1"/>
    </xf>
    <xf numFmtId="167" fontId="40" fillId="0" borderId="13" xfId="5" applyNumberFormat="1" applyFont="1" applyFill="1" applyBorder="1" applyAlignment="1" applyProtection="1">
      <alignment horizontal="center"/>
      <protection locked="0" hidden="1"/>
    </xf>
    <xf numFmtId="167" fontId="40" fillId="0" borderId="0" xfId="5" applyNumberFormat="1" applyFont="1" applyFill="1" applyBorder="1" applyAlignment="1" applyProtection="1">
      <alignment horizontal="center"/>
      <protection locked="0" hidden="1"/>
    </xf>
    <xf numFmtId="0" fontId="36" fillId="0" borderId="49" xfId="15" applyFont="1" applyBorder="1" applyProtection="1">
      <protection locked="0" hidden="1"/>
    </xf>
    <xf numFmtId="0" fontId="36" fillId="0" borderId="50" xfId="15" applyFont="1" applyBorder="1" applyProtection="1">
      <protection locked="0" hidden="1"/>
    </xf>
    <xf numFmtId="0" fontId="36" fillId="0" borderId="0" xfId="15" applyFont="1" applyProtection="1">
      <protection hidden="1"/>
    </xf>
    <xf numFmtId="0" fontId="90" fillId="30" borderId="51" xfId="15" applyFont="1" applyFill="1" applyBorder="1" applyAlignment="1" applyProtection="1">
      <alignment vertical="center"/>
      <protection locked="0" hidden="1"/>
    </xf>
    <xf numFmtId="0" fontId="57" fillId="0" borderId="0" xfId="15" applyFont="1" applyProtection="1">
      <protection locked="0" hidden="1"/>
    </xf>
    <xf numFmtId="9" fontId="90" fillId="30" borderId="51" xfId="3" applyFont="1" applyFill="1" applyBorder="1" applyAlignment="1" applyProtection="1">
      <alignment horizontal="center" vertical="center"/>
      <protection locked="0" hidden="1"/>
    </xf>
    <xf numFmtId="0" fontId="90" fillId="30" borderId="0" xfId="15" applyFont="1" applyFill="1" applyProtection="1">
      <protection locked="0" hidden="1"/>
    </xf>
    <xf numFmtId="0" fontId="36" fillId="0" borderId="49" xfId="15" applyFont="1" applyBorder="1" applyProtection="1">
      <protection hidden="1"/>
    </xf>
    <xf numFmtId="0" fontId="36" fillId="0" borderId="50" xfId="15" applyFont="1" applyBorder="1" applyProtection="1">
      <protection hidden="1"/>
    </xf>
    <xf numFmtId="0" fontId="45" fillId="0" borderId="0" xfId="15" applyFont="1" applyAlignment="1" applyProtection="1">
      <alignment horizontal="right" indent="1"/>
      <protection hidden="1"/>
    </xf>
    <xf numFmtId="0" fontId="36" fillId="0" borderId="0" xfId="15" applyFont="1" applyAlignment="1" applyProtection="1">
      <alignment horizontal="left"/>
      <protection hidden="1"/>
    </xf>
    <xf numFmtId="0" fontId="42" fillId="0" borderId="0" xfId="15" applyFont="1" applyAlignment="1" applyProtection="1">
      <alignment horizontal="left" indent="1"/>
      <protection hidden="1"/>
    </xf>
    <xf numFmtId="0" fontId="41" fillId="0" borderId="0" xfId="15" applyFont="1" applyAlignment="1" applyProtection="1">
      <alignment horizontal="left"/>
      <protection hidden="1"/>
    </xf>
    <xf numFmtId="0" fontId="46" fillId="0" borderId="56" xfId="15" applyFont="1" applyBorder="1" applyAlignment="1" applyProtection="1">
      <alignment vertical="center"/>
      <protection hidden="1"/>
    </xf>
    <xf numFmtId="0" fontId="43" fillId="0" borderId="56" xfId="15" applyFont="1" applyBorder="1" applyAlignment="1" applyProtection="1">
      <alignment vertical="center"/>
      <protection hidden="1"/>
    </xf>
    <xf numFmtId="0" fontId="88" fillId="21" borderId="51" xfId="15" applyFont="1" applyFill="1" applyBorder="1" applyAlignment="1" applyProtection="1">
      <alignment horizontal="centerContinuous" vertical="center"/>
      <protection hidden="1"/>
    </xf>
    <xf numFmtId="0" fontId="46" fillId="0" borderId="57" xfId="15" applyFont="1" applyBorder="1" applyAlignment="1" applyProtection="1">
      <alignment horizontal="centerContinuous" vertical="center"/>
      <protection hidden="1"/>
    </xf>
    <xf numFmtId="0" fontId="38" fillId="0" borderId="57" xfId="15" applyFont="1" applyBorder="1" applyProtection="1">
      <protection hidden="1"/>
    </xf>
    <xf numFmtId="0" fontId="88" fillId="21" borderId="51" xfId="15" applyFont="1" applyFill="1" applyBorder="1" applyAlignment="1" applyProtection="1">
      <alignment horizontal="center"/>
      <protection hidden="1"/>
    </xf>
    <xf numFmtId="0" fontId="46" fillId="13" borderId="0" xfId="15" applyFont="1" applyFill="1" applyAlignment="1" applyProtection="1">
      <alignment vertical="center"/>
      <protection hidden="1"/>
    </xf>
    <xf numFmtId="0" fontId="83" fillId="0" borderId="0" xfId="0" applyFont="1" applyProtection="1">
      <protection hidden="1"/>
    </xf>
    <xf numFmtId="0" fontId="58" fillId="13" borderId="0" xfId="15" applyFont="1" applyFill="1" applyAlignment="1" applyProtection="1">
      <alignment horizontal="center" vertical="center" wrapText="1"/>
      <protection hidden="1"/>
    </xf>
    <xf numFmtId="0" fontId="58" fillId="13" borderId="0" xfId="15" applyFont="1" applyFill="1" applyAlignment="1" applyProtection="1">
      <alignment horizontal="center" vertical="center"/>
      <protection hidden="1"/>
    </xf>
    <xf numFmtId="0" fontId="36" fillId="0" borderId="49" xfId="15" applyFont="1" applyBorder="1" applyAlignment="1" applyProtection="1">
      <alignment vertical="center"/>
      <protection hidden="1"/>
    </xf>
    <xf numFmtId="0" fontId="36" fillId="0" borderId="50" xfId="15" applyFont="1" applyBorder="1" applyAlignment="1" applyProtection="1">
      <alignment vertical="center"/>
      <protection hidden="1"/>
    </xf>
    <xf numFmtId="0" fontId="36" fillId="0" borderId="0" xfId="15" applyFont="1" applyAlignment="1" applyProtection="1">
      <alignment vertical="center"/>
      <protection hidden="1"/>
    </xf>
    <xf numFmtId="0" fontId="85" fillId="0" borderId="48" xfId="15" applyFont="1" applyBorder="1" applyAlignment="1" applyProtection="1">
      <alignment vertical="center"/>
      <protection hidden="1"/>
    </xf>
    <xf numFmtId="0" fontId="86" fillId="0" borderId="0" xfId="0" applyFont="1" applyProtection="1">
      <protection hidden="1"/>
    </xf>
    <xf numFmtId="3" fontId="85" fillId="0" borderId="48" xfId="5" applyNumberFormat="1" applyFont="1" applyBorder="1" applyAlignment="1" applyProtection="1">
      <alignment horizontal="center" vertical="center"/>
      <protection hidden="1"/>
    </xf>
    <xf numFmtId="3" fontId="59" fillId="0" borderId="48" xfId="5" applyNumberFormat="1" applyFont="1" applyBorder="1" applyAlignment="1" applyProtection="1">
      <alignment horizontal="center" vertical="center"/>
      <protection hidden="1"/>
    </xf>
    <xf numFmtId="167" fontId="59" fillId="0" borderId="48" xfId="5" applyNumberFormat="1" applyFont="1" applyBorder="1" applyAlignment="1" applyProtection="1">
      <alignment horizontal="center" vertical="center"/>
      <protection hidden="1"/>
    </xf>
    <xf numFmtId="0" fontId="57" fillId="0" borderId="0" xfId="15" applyFont="1" applyAlignment="1" applyProtection="1">
      <alignment vertical="center"/>
      <protection hidden="1"/>
    </xf>
    <xf numFmtId="0" fontId="44" fillId="0" borderId="0" xfId="15" applyFont="1" applyProtection="1">
      <protection locked="0" hidden="1"/>
    </xf>
    <xf numFmtId="0" fontId="60" fillId="0" borderId="46" xfId="15" applyFont="1" applyBorder="1" applyAlignment="1" applyProtection="1">
      <alignment horizontal="left" vertical="center" indent="3"/>
      <protection hidden="1"/>
    </xf>
    <xf numFmtId="3" fontId="60" fillId="0" borderId="46" xfId="5" applyNumberFormat="1" applyFont="1" applyBorder="1" applyAlignment="1" applyProtection="1">
      <alignment horizontal="center" vertical="center"/>
      <protection hidden="1"/>
    </xf>
    <xf numFmtId="178" fontId="60" fillId="0" borderId="46" xfId="3" applyNumberFormat="1" applyFont="1" applyBorder="1" applyAlignment="1" applyProtection="1">
      <alignment horizontal="left" vertical="center" indent="4"/>
      <protection hidden="1"/>
    </xf>
    <xf numFmtId="0" fontId="44" fillId="0" borderId="49" xfId="15" applyFont="1" applyBorder="1" applyAlignment="1" applyProtection="1">
      <alignment vertical="center"/>
      <protection hidden="1"/>
    </xf>
    <xf numFmtId="0" fontId="44" fillId="0" borderId="50" xfId="15" applyFont="1" applyBorder="1" applyAlignment="1" applyProtection="1">
      <alignment vertical="center"/>
      <protection hidden="1"/>
    </xf>
    <xf numFmtId="167" fontId="60" fillId="0" borderId="46" xfId="5" applyNumberFormat="1" applyFont="1" applyBorder="1" applyAlignment="1" applyProtection="1">
      <alignment horizontal="center" vertical="center"/>
      <protection hidden="1"/>
    </xf>
    <xf numFmtId="0" fontId="44" fillId="0" borderId="0" xfId="15" applyFont="1" applyAlignment="1" applyProtection="1">
      <alignment vertical="center"/>
      <protection hidden="1"/>
    </xf>
    <xf numFmtId="0" fontId="85" fillId="0" borderId="46" xfId="15" applyFont="1" applyBorder="1" applyAlignment="1" applyProtection="1">
      <alignment vertical="center"/>
      <protection hidden="1"/>
    </xf>
    <xf numFmtId="0" fontId="58" fillId="13" borderId="47" xfId="15" applyFont="1" applyFill="1" applyBorder="1" applyAlignment="1" applyProtection="1">
      <alignment horizontal="centerContinuous" vertical="center"/>
      <protection hidden="1"/>
    </xf>
    <xf numFmtId="0" fontId="57" fillId="0" borderId="49" xfId="15" applyFont="1" applyBorder="1" applyAlignment="1" applyProtection="1">
      <alignment vertical="center"/>
      <protection hidden="1"/>
    </xf>
    <xf numFmtId="0" fontId="57" fillId="0" borderId="50" xfId="15" applyFont="1" applyBorder="1" applyAlignment="1" applyProtection="1">
      <alignment vertical="center"/>
      <protection hidden="1"/>
    </xf>
    <xf numFmtId="0" fontId="57" fillId="0" borderId="0" xfId="0" applyFont="1" applyProtection="1">
      <protection locked="0" hidden="1"/>
    </xf>
    <xf numFmtId="3" fontId="60" fillId="0" borderId="46" xfId="15" applyNumberFormat="1" applyFont="1" applyBorder="1" applyAlignment="1" applyProtection="1">
      <alignment horizontal="center" vertical="center"/>
      <protection hidden="1"/>
    </xf>
    <xf numFmtId="176" fontId="60" fillId="0" borderId="46" xfId="15" applyNumberFormat="1" applyFont="1" applyBorder="1" applyAlignment="1" applyProtection="1">
      <alignment horizontal="center" vertical="center"/>
      <protection hidden="1"/>
    </xf>
    <xf numFmtId="176" fontId="60" fillId="0" borderId="46" xfId="5" applyNumberFormat="1" applyFont="1" applyBorder="1" applyAlignment="1" applyProtection="1">
      <alignment horizontal="center" vertical="center"/>
      <protection hidden="1"/>
    </xf>
    <xf numFmtId="0" fontId="60" fillId="0" borderId="46" xfId="15" applyFont="1" applyBorder="1" applyAlignment="1" applyProtection="1">
      <alignment vertical="center"/>
      <protection hidden="1"/>
    </xf>
    <xf numFmtId="0" fontId="60" fillId="0" borderId="46" xfId="15" applyFont="1" applyBorder="1" applyAlignment="1" applyProtection="1">
      <alignment horizontal="left" vertical="center"/>
      <protection hidden="1"/>
    </xf>
    <xf numFmtId="0" fontId="60" fillId="0" borderId="46" xfId="15" applyFont="1" applyBorder="1" applyAlignment="1" applyProtection="1">
      <alignment horizontal="center" vertical="center"/>
      <protection hidden="1"/>
    </xf>
    <xf numFmtId="169" fontId="60" fillId="0" borderId="46" xfId="6" applyNumberFormat="1" applyFont="1" applyBorder="1" applyAlignment="1" applyProtection="1">
      <alignment horizontal="right" vertical="center"/>
      <protection hidden="1"/>
    </xf>
    <xf numFmtId="182" fontId="60" fillId="0" borderId="46" xfId="15" applyNumberFormat="1" applyFont="1" applyBorder="1" applyAlignment="1" applyProtection="1">
      <alignment horizontal="center" vertical="center"/>
      <protection hidden="1"/>
    </xf>
    <xf numFmtId="0" fontId="87" fillId="0" borderId="0" xfId="15" applyFont="1" applyAlignment="1" applyProtection="1">
      <alignment vertical="center"/>
      <protection hidden="1"/>
    </xf>
    <xf numFmtId="0" fontId="60" fillId="0" borderId="0" xfId="15" applyFont="1" applyAlignment="1" applyProtection="1">
      <alignment vertical="center"/>
      <protection hidden="1"/>
    </xf>
    <xf numFmtId="0" fontId="83" fillId="9" borderId="0" xfId="15" applyFont="1" applyFill="1" applyAlignment="1" applyProtection="1">
      <alignment horizontal="left" vertical="center"/>
      <protection hidden="1"/>
    </xf>
    <xf numFmtId="0" fontId="39" fillId="9" borderId="0" xfId="15" applyFont="1" applyFill="1" applyAlignment="1" applyProtection="1">
      <alignment horizontal="left" vertical="center"/>
      <protection hidden="1"/>
    </xf>
    <xf numFmtId="0" fontId="85" fillId="0" borderId="48" xfId="15" applyFont="1" applyBorder="1" applyProtection="1">
      <protection hidden="1"/>
    </xf>
    <xf numFmtId="0" fontId="85" fillId="0" borderId="0" xfId="15" applyFont="1" applyProtection="1">
      <protection hidden="1"/>
    </xf>
    <xf numFmtId="178" fontId="85" fillId="0" borderId="48" xfId="3" applyNumberFormat="1" applyFont="1" applyBorder="1" applyAlignment="1" applyProtection="1">
      <alignment horizontal="left" vertical="center" indent="4"/>
      <protection hidden="1"/>
    </xf>
    <xf numFmtId="0" fontId="87" fillId="0" borderId="49" xfId="15" applyFont="1" applyBorder="1" applyProtection="1">
      <protection hidden="1"/>
    </xf>
    <xf numFmtId="0" fontId="87" fillId="0" borderId="50" xfId="15" applyFont="1" applyBorder="1" applyProtection="1">
      <protection hidden="1"/>
    </xf>
    <xf numFmtId="167" fontId="85" fillId="0" borderId="48" xfId="5" applyNumberFormat="1" applyFont="1" applyBorder="1" applyAlignment="1" applyProtection="1">
      <alignment horizontal="center"/>
      <protection hidden="1"/>
    </xf>
    <xf numFmtId="178" fontId="87" fillId="0" borderId="46" xfId="3" applyNumberFormat="1" applyFont="1" applyBorder="1" applyAlignment="1" applyProtection="1">
      <alignment horizontal="left" vertical="center" indent="4"/>
      <protection hidden="1"/>
    </xf>
    <xf numFmtId="0" fontId="85" fillId="7" borderId="71" xfId="15" applyFont="1" applyFill="1" applyBorder="1" applyProtection="1">
      <protection hidden="1"/>
    </xf>
    <xf numFmtId="0" fontId="86" fillId="0" borderId="0" xfId="15" applyFont="1" applyProtection="1">
      <protection hidden="1"/>
    </xf>
    <xf numFmtId="0" fontId="85" fillId="7" borderId="72" xfId="15" applyFont="1" applyFill="1" applyBorder="1" applyProtection="1">
      <protection hidden="1"/>
    </xf>
    <xf numFmtId="177" fontId="85" fillId="7" borderId="71" xfId="15" applyNumberFormat="1" applyFont="1" applyFill="1" applyBorder="1" applyProtection="1">
      <protection hidden="1"/>
    </xf>
    <xf numFmtId="0" fontId="8" fillId="0" borderId="0" xfId="0" applyFont="1" applyProtection="1">
      <protection hidden="1"/>
    </xf>
    <xf numFmtId="0" fontId="31" fillId="19" borderId="6" xfId="0" applyFont="1" applyFill="1" applyBorder="1" applyAlignment="1" applyProtection="1">
      <alignment horizontal="left" vertical="center" indent="1"/>
      <protection hidden="1"/>
    </xf>
    <xf numFmtId="0" fontId="31" fillId="19" borderId="6" xfId="0" applyFont="1" applyFill="1" applyBorder="1" applyAlignment="1" applyProtection="1">
      <alignment horizontal="center" vertical="center"/>
      <protection hidden="1"/>
    </xf>
    <xf numFmtId="0" fontId="30" fillId="6" borderId="32" xfId="0" applyFont="1" applyFill="1" applyBorder="1" applyAlignment="1" applyProtection="1">
      <alignment horizontal="center" vertical="center"/>
      <protection locked="0" hidden="1"/>
    </xf>
    <xf numFmtId="9" fontId="0" fillId="2" borderId="0" xfId="0" applyNumberFormat="1" applyFill="1" applyProtection="1">
      <protection locked="0" hidden="1"/>
    </xf>
    <xf numFmtId="0" fontId="0" fillId="2" borderId="0" xfId="0" applyFill="1" applyProtection="1">
      <protection locked="0" hidden="1"/>
    </xf>
    <xf numFmtId="0" fontId="30" fillId="6" borderId="6" xfId="0" applyFont="1" applyFill="1" applyBorder="1" applyAlignment="1" applyProtection="1">
      <alignment horizontal="center" vertical="center"/>
      <protection locked="0" hidden="1"/>
    </xf>
    <xf numFmtId="9" fontId="0" fillId="2" borderId="0" xfId="3" applyFont="1" applyFill="1" applyProtection="1">
      <protection locked="0" hidden="1"/>
    </xf>
    <xf numFmtId="9" fontId="30" fillId="6" borderId="6" xfId="3" applyFont="1" applyFill="1" applyBorder="1" applyAlignment="1" applyProtection="1">
      <alignment horizontal="center" vertical="center"/>
      <protection locked="0" hidden="1"/>
    </xf>
    <xf numFmtId="0" fontId="30" fillId="6" borderId="6" xfId="3" applyNumberFormat="1" applyFont="1" applyFill="1" applyBorder="1" applyAlignment="1" applyProtection="1">
      <alignment horizontal="center" vertical="center"/>
      <protection locked="0" hidden="1"/>
    </xf>
    <xf numFmtId="0" fontId="0" fillId="0" borderId="1" xfId="0" applyBorder="1" applyProtection="1">
      <protection hidden="1"/>
    </xf>
    <xf numFmtId="0" fontId="35" fillId="0" borderId="19" xfId="0" applyFont="1" applyBorder="1" applyProtection="1">
      <protection hidden="1"/>
    </xf>
    <xf numFmtId="0" fontId="24" fillId="0" borderId="5" xfId="0" applyFont="1" applyBorder="1" applyProtection="1">
      <protection hidden="1"/>
    </xf>
    <xf numFmtId="0" fontId="0" fillId="0" borderId="5" xfId="0" applyBorder="1" applyProtection="1">
      <protection hidden="1"/>
    </xf>
    <xf numFmtId="0" fontId="10" fillId="19" borderId="21" xfId="0" applyFont="1" applyFill="1" applyBorder="1" applyAlignment="1" applyProtection="1">
      <alignment horizontal="left"/>
      <protection hidden="1"/>
    </xf>
    <xf numFmtId="0" fontId="10" fillId="19" borderId="0" xfId="0" applyFont="1" applyFill="1" applyAlignment="1" applyProtection="1">
      <alignment horizontal="center"/>
      <protection hidden="1"/>
    </xf>
    <xf numFmtId="0" fontId="10" fillId="19" borderId="22" xfId="0" applyFont="1" applyFill="1" applyBorder="1" applyAlignment="1" applyProtection="1">
      <alignment horizontal="center"/>
      <protection hidden="1"/>
    </xf>
    <xf numFmtId="0" fontId="9" fillId="19" borderId="21" xfId="0" applyFont="1" applyFill="1" applyBorder="1" applyProtection="1">
      <protection hidden="1"/>
    </xf>
    <xf numFmtId="0" fontId="1" fillId="0" borderId="0" xfId="0" applyFont="1" applyProtection="1">
      <protection hidden="1"/>
    </xf>
    <xf numFmtId="0" fontId="9" fillId="19" borderId="23" xfId="0" applyFont="1" applyFill="1" applyBorder="1" applyProtection="1">
      <protection hidden="1"/>
    </xf>
    <xf numFmtId="0" fontId="6" fillId="10" borderId="0" xfId="0" applyFont="1" applyFill="1" applyAlignment="1" applyProtection="1">
      <alignment horizontal="center"/>
      <protection hidden="1"/>
    </xf>
    <xf numFmtId="0" fontId="0" fillId="10" borderId="22" xfId="0" applyFill="1" applyBorder="1" applyAlignment="1" applyProtection="1">
      <alignment horizontal="center"/>
      <protection hidden="1"/>
    </xf>
    <xf numFmtId="181" fontId="0" fillId="10" borderId="24" xfId="0" applyNumberFormat="1" applyFill="1" applyBorder="1" applyAlignment="1" applyProtection="1">
      <alignment horizontal="center"/>
      <protection hidden="1"/>
    </xf>
    <xf numFmtId="0" fontId="0" fillId="10" borderId="25" xfId="0" applyFill="1" applyBorder="1" applyAlignment="1" applyProtection="1">
      <alignment horizontal="center"/>
      <protection hidden="1"/>
    </xf>
    <xf numFmtId="0" fontId="10" fillId="19" borderId="19" xfId="0" applyFont="1" applyFill="1" applyBorder="1" applyProtection="1">
      <protection hidden="1"/>
    </xf>
    <xf numFmtId="0" fontId="0" fillId="10" borderId="21" xfId="0" applyFill="1" applyBorder="1" applyProtection="1">
      <protection hidden="1"/>
    </xf>
    <xf numFmtId="0" fontId="0" fillId="10" borderId="23" xfId="0" applyFill="1" applyBorder="1" applyProtection="1">
      <protection hidden="1"/>
    </xf>
    <xf numFmtId="0" fontId="91" fillId="0" borderId="0" xfId="0" applyFont="1" applyProtection="1">
      <protection hidden="1"/>
    </xf>
    <xf numFmtId="0" fontId="0" fillId="10" borderId="21" xfId="0" applyFill="1" applyBorder="1" applyAlignment="1" applyProtection="1">
      <alignment horizontal="center"/>
      <protection hidden="1"/>
    </xf>
    <xf numFmtId="0" fontId="6" fillId="10" borderId="0" xfId="0" applyFont="1" applyFill="1" applyProtection="1">
      <protection hidden="1"/>
    </xf>
    <xf numFmtId="0" fontId="6" fillId="10" borderId="22" xfId="0" applyFont="1" applyFill="1" applyBorder="1" applyProtection="1">
      <protection hidden="1"/>
    </xf>
    <xf numFmtId="2" fontId="0" fillId="3" borderId="0" xfId="0" applyNumberFormat="1" applyFill="1" applyProtection="1">
      <protection hidden="1"/>
    </xf>
    <xf numFmtId="0" fontId="0" fillId="4" borderId="0" xfId="0" applyFill="1" applyProtection="1">
      <protection hidden="1"/>
    </xf>
    <xf numFmtId="0" fontId="0" fillId="4" borderId="22" xfId="0" applyFill="1" applyBorder="1" applyProtection="1">
      <protection hidden="1"/>
    </xf>
    <xf numFmtId="0" fontId="0" fillId="3" borderId="0" xfId="0" applyFill="1" applyProtection="1">
      <protection hidden="1"/>
    </xf>
    <xf numFmtId="167" fontId="0" fillId="11" borderId="0" xfId="1" applyNumberFormat="1" applyFont="1" applyFill="1" applyBorder="1" applyProtection="1">
      <protection hidden="1"/>
    </xf>
    <xf numFmtId="44" fontId="0" fillId="11" borderId="22" xfId="2" applyFont="1" applyFill="1" applyBorder="1" applyProtection="1">
      <protection hidden="1"/>
    </xf>
    <xf numFmtId="167" fontId="0" fillId="11" borderId="24" xfId="1" applyNumberFormat="1" applyFont="1" applyFill="1" applyBorder="1" applyProtection="1">
      <protection hidden="1"/>
    </xf>
    <xf numFmtId="44" fontId="0" fillId="11" borderId="25" xfId="2" applyFont="1" applyFill="1" applyBorder="1" applyProtection="1">
      <protection hidden="1"/>
    </xf>
    <xf numFmtId="0" fontId="10" fillId="19" borderId="5" xfId="0" applyFont="1" applyFill="1" applyBorder="1" applyAlignment="1" applyProtection="1">
      <alignment horizontal="center" vertical="center" wrapText="1"/>
      <protection hidden="1"/>
    </xf>
    <xf numFmtId="0" fontId="10" fillId="19" borderId="0" xfId="0" applyFont="1" applyFill="1" applyProtection="1">
      <protection hidden="1"/>
    </xf>
    <xf numFmtId="167" fontId="14" fillId="0" borderId="9" xfId="1" applyNumberFormat="1" applyFont="1" applyBorder="1" applyAlignment="1" applyProtection="1">
      <alignment horizontal="right"/>
      <protection hidden="1"/>
    </xf>
    <xf numFmtId="0" fontId="10" fillId="19" borderId="9" xfId="0" applyFont="1" applyFill="1" applyBorder="1" applyProtection="1">
      <protection hidden="1"/>
    </xf>
    <xf numFmtId="0" fontId="33" fillId="0" borderId="9" xfId="0" applyFont="1" applyBorder="1" applyAlignment="1" applyProtection="1">
      <alignment horizontal="right"/>
      <protection hidden="1"/>
    </xf>
    <xf numFmtId="0" fontId="23" fillId="0" borderId="0" xfId="0" applyFont="1" applyProtection="1">
      <protection hidden="1"/>
    </xf>
    <xf numFmtId="44" fontId="33" fillId="0" borderId="9" xfId="2" applyFont="1" applyBorder="1" applyProtection="1">
      <protection hidden="1"/>
    </xf>
    <xf numFmtId="9" fontId="14" fillId="0" borderId="9" xfId="3" applyFont="1" applyBorder="1" applyAlignment="1" applyProtection="1">
      <alignment horizontal="right"/>
      <protection hidden="1"/>
    </xf>
    <xf numFmtId="0" fontId="0" fillId="10" borderId="0" xfId="0" applyFill="1" applyAlignment="1" applyProtection="1">
      <alignment horizontal="center"/>
      <protection hidden="1"/>
    </xf>
    <xf numFmtId="0" fontId="0" fillId="2" borderId="23" xfId="0" applyFill="1" applyBorder="1" applyAlignment="1" applyProtection="1">
      <alignment horizontal="center"/>
      <protection locked="0" hidden="1"/>
    </xf>
    <xf numFmtId="0" fontId="0" fillId="11" borderId="24" xfId="0" applyFill="1" applyBorder="1" applyAlignment="1" applyProtection="1">
      <alignment horizontal="center"/>
      <protection hidden="1"/>
    </xf>
    <xf numFmtId="0" fontId="0" fillId="11" borderId="25" xfId="0" applyFill="1" applyBorder="1" applyAlignment="1" applyProtection="1">
      <alignment horizontal="center"/>
      <protection hidden="1"/>
    </xf>
    <xf numFmtId="0" fontId="34" fillId="0" borderId="0" xfId="0" applyFont="1" applyProtection="1">
      <protection hidden="1"/>
    </xf>
    <xf numFmtId="0" fontId="0" fillId="10" borderId="19" xfId="0" applyFill="1" applyBorder="1" applyProtection="1">
      <protection hidden="1"/>
    </xf>
    <xf numFmtId="0" fontId="0" fillId="17" borderId="21" xfId="0" applyFill="1" applyBorder="1" applyProtection="1">
      <protection hidden="1"/>
    </xf>
    <xf numFmtId="0" fontId="0" fillId="17" borderId="0" xfId="0" applyFill="1" applyAlignment="1" applyProtection="1">
      <alignment horizontal="center"/>
      <protection hidden="1"/>
    </xf>
    <xf numFmtId="0" fontId="0" fillId="17" borderId="22" xfId="0" applyFill="1" applyBorder="1" applyAlignment="1" applyProtection="1">
      <alignment horizontal="center"/>
      <protection hidden="1"/>
    </xf>
    <xf numFmtId="9" fontId="0" fillId="2" borderId="23" xfId="0" applyNumberFormat="1" applyFill="1" applyBorder="1" applyProtection="1">
      <protection locked="0" hidden="1"/>
    </xf>
    <xf numFmtId="0" fontId="0" fillId="4" borderId="21" xfId="0" applyFill="1" applyBorder="1" applyAlignment="1" applyProtection="1">
      <alignment horizontal="center"/>
      <protection hidden="1"/>
    </xf>
    <xf numFmtId="0" fontId="0" fillId="4" borderId="0" xfId="0" applyFill="1" applyAlignment="1" applyProtection="1">
      <alignment horizontal="center"/>
      <protection hidden="1"/>
    </xf>
    <xf numFmtId="0" fontId="0" fillId="4" borderId="22" xfId="0" applyFill="1" applyBorder="1" applyAlignment="1" applyProtection="1">
      <alignment horizontal="center"/>
      <protection hidden="1"/>
    </xf>
    <xf numFmtId="0" fontId="0" fillId="11" borderId="23" xfId="0" applyFill="1" applyBorder="1" applyAlignment="1" applyProtection="1">
      <alignment horizontal="center"/>
      <protection hidden="1"/>
    </xf>
    <xf numFmtId="0" fontId="0" fillId="2" borderId="24" xfId="0" applyFill="1" applyBorder="1" applyAlignment="1" applyProtection="1">
      <alignment horizontal="center"/>
      <protection locked="0" hidden="1"/>
    </xf>
    <xf numFmtId="1" fontId="0" fillId="11" borderId="24" xfId="0" applyNumberFormat="1" applyFill="1" applyBorder="1" applyAlignment="1" applyProtection="1">
      <alignment horizontal="center"/>
      <protection hidden="1"/>
    </xf>
    <xf numFmtId="0" fontId="21" fillId="0" borderId="0" xfId="0" applyFont="1" applyAlignment="1" applyProtection="1">
      <alignment horizontal="left" vertical="center" readingOrder="1"/>
      <protection hidden="1"/>
    </xf>
    <xf numFmtId="0" fontId="0" fillId="10" borderId="2" xfId="0" applyFill="1" applyBorder="1" applyAlignment="1" applyProtection="1">
      <alignment horizontal="center"/>
      <protection hidden="1"/>
    </xf>
    <xf numFmtId="0" fontId="0" fillId="2" borderId="4" xfId="0" applyFill="1" applyBorder="1" applyAlignment="1" applyProtection="1">
      <alignment horizontal="center"/>
      <protection locked="0" hidden="1"/>
    </xf>
    <xf numFmtId="0" fontId="10" fillId="13" borderId="5" xfId="0" applyFont="1" applyFill="1" applyBorder="1" applyAlignment="1" applyProtection="1">
      <alignment horizontal="center"/>
      <protection hidden="1"/>
    </xf>
    <xf numFmtId="0" fontId="10" fillId="13" borderId="20" xfId="0" applyFont="1" applyFill="1" applyBorder="1" applyAlignment="1" applyProtection="1">
      <alignment horizontal="center"/>
      <protection hidden="1"/>
    </xf>
    <xf numFmtId="0" fontId="22" fillId="0" borderId="0" xfId="0" applyFont="1" applyProtection="1">
      <protection hidden="1"/>
    </xf>
    <xf numFmtId="0" fontId="0" fillId="0" borderId="20" xfId="0" applyBorder="1" applyProtection="1">
      <protection hidden="1"/>
    </xf>
    <xf numFmtId="0" fontId="0" fillId="0" borderId="21" xfId="0" applyBorder="1" applyProtection="1">
      <protection hidden="1"/>
    </xf>
    <xf numFmtId="0" fontId="0" fillId="0" borderId="22" xfId="0" applyBorder="1" applyProtection="1">
      <protection hidden="1"/>
    </xf>
    <xf numFmtId="0" fontId="0" fillId="10" borderId="0" xfId="0" applyFill="1" applyProtection="1">
      <protection hidden="1"/>
    </xf>
    <xf numFmtId="0" fontId="0" fillId="11" borderId="21" xfId="0" applyFill="1" applyBorder="1" applyAlignment="1" applyProtection="1">
      <alignment horizontal="center"/>
      <protection hidden="1"/>
    </xf>
    <xf numFmtId="2" fontId="0" fillId="11" borderId="0" xfId="1" applyNumberFormat="1" applyFont="1" applyFill="1" applyBorder="1" applyAlignment="1" applyProtection="1">
      <alignment horizontal="center" vertical="center"/>
      <protection hidden="1"/>
    </xf>
    <xf numFmtId="2" fontId="0" fillId="11" borderId="24" xfId="1" applyNumberFormat="1" applyFont="1" applyFill="1" applyBorder="1" applyAlignment="1" applyProtection="1">
      <alignment horizontal="center" vertical="center"/>
      <protection hidden="1"/>
    </xf>
    <xf numFmtId="0" fontId="92" fillId="0" borderId="0" xfId="0" applyFont="1" applyProtection="1">
      <protection hidden="1"/>
    </xf>
    <xf numFmtId="0" fontId="14" fillId="0" borderId="12" xfId="0" applyFont="1" applyBorder="1" applyProtection="1">
      <protection hidden="1"/>
    </xf>
    <xf numFmtId="168" fontId="14" fillId="0" borderId="11" xfId="2" applyNumberFormat="1" applyFont="1" applyBorder="1" applyAlignment="1" applyProtection="1">
      <protection hidden="1"/>
    </xf>
    <xf numFmtId="0" fontId="93" fillId="0" borderId="0" xfId="0" applyFont="1" applyProtection="1">
      <protection hidden="1"/>
    </xf>
    <xf numFmtId="0" fontId="0" fillId="11" borderId="23" xfId="0" applyFill="1" applyBorder="1" applyProtection="1">
      <protection hidden="1"/>
    </xf>
    <xf numFmtId="0" fontId="6" fillId="0" borderId="0" xfId="0" applyFont="1" applyProtection="1">
      <protection hidden="1"/>
    </xf>
    <xf numFmtId="3" fontId="0" fillId="0" borderId="0" xfId="0" applyNumberFormat="1" applyProtection="1">
      <protection hidden="1"/>
    </xf>
    <xf numFmtId="0" fontId="0" fillId="0" borderId="0" xfId="0" applyAlignment="1" applyProtection="1">
      <alignment horizontal="right"/>
      <protection hidden="1"/>
    </xf>
    <xf numFmtId="0" fontId="0" fillId="10" borderId="21" xfId="0" applyFill="1" applyBorder="1" applyAlignment="1" applyProtection="1">
      <alignment vertical="center"/>
      <protection hidden="1"/>
    </xf>
    <xf numFmtId="0" fontId="0" fillId="10" borderId="0" xfId="0" applyFill="1" applyAlignment="1" applyProtection="1">
      <alignment horizontal="center" vertical="center" wrapText="1"/>
      <protection hidden="1"/>
    </xf>
    <xf numFmtId="0" fontId="0" fillId="10" borderId="0" xfId="0" applyFill="1" applyAlignment="1" applyProtection="1">
      <alignment horizontal="center" vertical="center"/>
      <protection hidden="1"/>
    </xf>
    <xf numFmtId="0" fontId="0" fillId="10" borderId="22" xfId="0" applyFill="1" applyBorder="1" applyAlignment="1" applyProtection="1">
      <alignment horizontal="center" vertical="center"/>
      <protection hidden="1"/>
    </xf>
    <xf numFmtId="1" fontId="0" fillId="2" borderId="24" xfId="0" applyNumberFormat="1" applyFill="1" applyBorder="1" applyAlignment="1" applyProtection="1">
      <alignment horizontal="center"/>
      <protection locked="0" hidden="1"/>
    </xf>
    <xf numFmtId="173" fontId="0" fillId="11" borderId="25" xfId="0" applyNumberFormat="1" applyFill="1" applyBorder="1" applyAlignment="1" applyProtection="1">
      <alignment horizontal="center"/>
      <protection hidden="1"/>
    </xf>
    <xf numFmtId="0" fontId="0" fillId="4" borderId="19" xfId="0" applyFill="1" applyBorder="1" applyAlignment="1" applyProtection="1">
      <alignment horizontal="center"/>
      <protection hidden="1"/>
    </xf>
    <xf numFmtId="0" fontId="0" fillId="4" borderId="5" xfId="0" applyFill="1" applyBorder="1" applyAlignment="1" applyProtection="1">
      <alignment horizontal="center"/>
      <protection hidden="1"/>
    </xf>
    <xf numFmtId="0" fontId="0" fillId="4" borderId="20" xfId="0" applyFill="1" applyBorder="1" applyAlignment="1" applyProtection="1">
      <alignment horizontal="center"/>
      <protection hidden="1"/>
    </xf>
    <xf numFmtId="0" fontId="0" fillId="0" borderId="0" xfId="0" applyAlignment="1" applyProtection="1">
      <alignment horizontal="center"/>
      <protection hidden="1"/>
    </xf>
    <xf numFmtId="0" fontId="0" fillId="13" borderId="2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10" borderId="21" xfId="0" applyFill="1" applyBorder="1" applyAlignment="1" applyProtection="1">
      <alignment horizontal="center" vertical="center" wrapText="1"/>
      <protection hidden="1"/>
    </xf>
    <xf numFmtId="0" fontId="0" fillId="10" borderId="22" xfId="0" applyFill="1" applyBorder="1" applyAlignment="1" applyProtection="1">
      <alignment vertical="center" wrapText="1"/>
      <protection hidden="1"/>
    </xf>
    <xf numFmtId="0" fontId="0" fillId="4" borderId="21" xfId="0" applyFill="1" applyBorder="1" applyProtection="1">
      <protection hidden="1"/>
    </xf>
    <xf numFmtId="0" fontId="0" fillId="11" borderId="24" xfId="0" applyFill="1" applyBorder="1" applyProtection="1">
      <protection hidden="1"/>
    </xf>
    <xf numFmtId="9" fontId="0" fillId="0" borderId="0" xfId="3" applyFont="1" applyFill="1" applyBorder="1" applyAlignment="1" applyProtection="1">
      <alignment horizontal="center"/>
      <protection hidden="1"/>
    </xf>
    <xf numFmtId="0" fontId="0" fillId="13" borderId="21" xfId="0" applyFill="1" applyBorder="1" applyProtection="1">
      <protection hidden="1"/>
    </xf>
    <xf numFmtId="0" fontId="0" fillId="13" borderId="0" xfId="0" applyFill="1" applyProtection="1">
      <protection hidden="1"/>
    </xf>
    <xf numFmtId="0" fontId="0" fillId="24" borderId="21" xfId="0" applyFill="1" applyBorder="1" applyProtection="1">
      <protection hidden="1"/>
    </xf>
    <xf numFmtId="167" fontId="0" fillId="24" borderId="0" xfId="1" applyNumberFormat="1" applyFont="1" applyFill="1" applyProtection="1">
      <protection hidden="1"/>
    </xf>
    <xf numFmtId="9" fontId="0" fillId="24" borderId="0" xfId="3" applyFont="1" applyFill="1" applyBorder="1" applyProtection="1">
      <protection hidden="1"/>
    </xf>
    <xf numFmtId="0" fontId="0" fillId="24" borderId="0" xfId="0" applyFill="1" applyAlignment="1" applyProtection="1">
      <alignment horizontal="center"/>
      <protection hidden="1"/>
    </xf>
    <xf numFmtId="9" fontId="0" fillId="24" borderId="22" xfId="3" applyFont="1" applyFill="1" applyBorder="1" applyProtection="1">
      <protection hidden="1"/>
    </xf>
    <xf numFmtId="0" fontId="6" fillId="24" borderId="0" xfId="0" applyFont="1" applyFill="1" applyAlignment="1" applyProtection="1">
      <alignment horizontal="center"/>
      <protection hidden="1"/>
    </xf>
    <xf numFmtId="9" fontId="6" fillId="24" borderId="22" xfId="3" applyFont="1" applyFill="1" applyBorder="1" applyProtection="1">
      <protection hidden="1"/>
    </xf>
    <xf numFmtId="0" fontId="0" fillId="24" borderId="0" xfId="0" applyFill="1" applyProtection="1">
      <protection hidden="1"/>
    </xf>
    <xf numFmtId="0" fontId="0" fillId="24" borderId="22" xfId="0" applyFill="1" applyBorder="1" applyProtection="1">
      <protection hidden="1"/>
    </xf>
    <xf numFmtId="0" fontId="0" fillId="24" borderId="23" xfId="0" applyFill="1" applyBorder="1" applyProtection="1">
      <protection hidden="1"/>
    </xf>
    <xf numFmtId="9" fontId="0" fillId="24" borderId="24" xfId="3" applyFont="1" applyFill="1" applyBorder="1" applyProtection="1">
      <protection hidden="1"/>
    </xf>
    <xf numFmtId="0" fontId="0" fillId="24" borderId="24" xfId="0" applyFill="1" applyBorder="1" applyProtection="1">
      <protection hidden="1"/>
    </xf>
    <xf numFmtId="0" fontId="0" fillId="24" borderId="25" xfId="0" applyFill="1" applyBorder="1" applyProtection="1">
      <protection hidden="1"/>
    </xf>
    <xf numFmtId="0" fontId="8" fillId="0" borderId="0" xfId="0" applyFont="1" applyProtection="1">
      <protection locked="0"/>
    </xf>
    <xf numFmtId="0" fontId="12" fillId="0" borderId="23" xfId="0" applyFont="1" applyBorder="1" applyProtection="1">
      <protection locked="0"/>
    </xf>
    <xf numFmtId="0" fontId="12" fillId="0" borderId="24" xfId="0" applyFont="1" applyBorder="1" applyAlignment="1" applyProtection="1">
      <alignment horizontal="center"/>
      <protection locked="0"/>
    </xf>
    <xf numFmtId="0" fontId="12" fillId="0" borderId="25" xfId="0" applyFont="1" applyBorder="1" applyAlignment="1" applyProtection="1">
      <alignment horizontal="center"/>
      <protection locked="0"/>
    </xf>
    <xf numFmtId="0" fontId="12" fillId="0" borderId="9" xfId="0" applyFont="1" applyBorder="1" applyAlignment="1" applyProtection="1">
      <alignment horizontal="center"/>
      <protection locked="0"/>
    </xf>
    <xf numFmtId="0" fontId="9" fillId="5" borderId="2" xfId="0" applyFont="1" applyFill="1" applyBorder="1" applyProtection="1">
      <protection locked="0"/>
    </xf>
    <xf numFmtId="0" fontId="9" fillId="5" borderId="1" xfId="0" applyFont="1" applyFill="1" applyBorder="1" applyProtection="1">
      <protection locked="0"/>
    </xf>
    <xf numFmtId="0" fontId="9" fillId="5" borderId="4" xfId="0" applyFont="1" applyFill="1" applyBorder="1" applyProtection="1">
      <protection locked="0"/>
    </xf>
    <xf numFmtId="0" fontId="12" fillId="6" borderId="9" xfId="0" applyFont="1" applyFill="1" applyBorder="1" applyProtection="1">
      <protection locked="0"/>
    </xf>
    <xf numFmtId="0" fontId="12" fillId="0" borderId="9" xfId="0" applyFont="1" applyBorder="1" applyProtection="1">
      <protection locked="0"/>
    </xf>
    <xf numFmtId="0" fontId="12" fillId="0" borderId="34" xfId="0" applyFont="1" applyBorder="1" applyProtection="1">
      <protection locked="0"/>
    </xf>
    <xf numFmtId="0" fontId="12" fillId="0" borderId="30" xfId="0" applyFont="1" applyBorder="1" applyProtection="1">
      <protection locked="0"/>
    </xf>
    <xf numFmtId="0" fontId="12" fillId="0" borderId="30" xfId="0" applyFont="1" applyBorder="1" applyAlignment="1" applyProtection="1">
      <alignment wrapText="1"/>
      <protection locked="0"/>
    </xf>
    <xf numFmtId="0" fontId="12" fillId="0" borderId="31" xfId="0" applyFont="1" applyBorder="1" applyAlignment="1" applyProtection="1">
      <alignment wrapText="1"/>
      <protection locked="0"/>
    </xf>
    <xf numFmtId="0" fontId="0" fillId="2" borderId="18" xfId="0" applyFill="1" applyBorder="1" applyProtection="1">
      <protection locked="0"/>
    </xf>
    <xf numFmtId="0" fontId="0" fillId="2" borderId="25" xfId="0" applyFill="1" applyBorder="1" applyProtection="1">
      <protection locked="0"/>
    </xf>
    <xf numFmtId="0" fontId="11" fillId="0" borderId="23" xfId="4" applyBorder="1" applyProtection="1">
      <protection locked="0"/>
    </xf>
    <xf numFmtId="0" fontId="0" fillId="0" borderId="24" xfId="0" applyBorder="1" applyProtection="1">
      <protection locked="0"/>
    </xf>
    <xf numFmtId="0" fontId="0" fillId="0" borderId="25" xfId="0" applyBorder="1" applyProtection="1">
      <protection locked="0"/>
    </xf>
    <xf numFmtId="43" fontId="0" fillId="0" borderId="0" xfId="0" applyNumberFormat="1" applyProtection="1">
      <protection locked="0"/>
    </xf>
    <xf numFmtId="0" fontId="0" fillId="0" borderId="16" xfId="0" applyBorder="1" applyProtection="1">
      <protection locked="0"/>
    </xf>
    <xf numFmtId="0" fontId="0" fillId="0" borderId="18" xfId="0" applyBorder="1" applyProtection="1">
      <protection locked="0"/>
    </xf>
    <xf numFmtId="0" fontId="6" fillId="0" borderId="2" xfId="0" applyFont="1" applyBorder="1" applyProtection="1">
      <protection locked="0"/>
    </xf>
    <xf numFmtId="0" fontId="6" fillId="0" borderId="3" xfId="0" applyFont="1" applyBorder="1" applyProtection="1">
      <protection locked="0"/>
    </xf>
    <xf numFmtId="0" fontId="6" fillId="0" borderId="4" xfId="0" applyFont="1" applyBorder="1" applyProtection="1">
      <protection locked="0"/>
    </xf>
    <xf numFmtId="0" fontId="6" fillId="0" borderId="1" xfId="0" applyFont="1" applyBorder="1" applyProtection="1">
      <protection locked="0"/>
    </xf>
    <xf numFmtId="0" fontId="6" fillId="0" borderId="3" xfId="0" applyFont="1" applyBorder="1" applyAlignment="1" applyProtection="1">
      <alignment horizontal="center"/>
      <protection locked="0"/>
    </xf>
    <xf numFmtId="0" fontId="6" fillId="0" borderId="4" xfId="0" applyFont="1" applyBorder="1" applyAlignment="1" applyProtection="1">
      <alignment horizontal="center"/>
      <protection locked="0"/>
    </xf>
    <xf numFmtId="0" fontId="6" fillId="0" borderId="17" xfId="0" applyFont="1" applyBorder="1" applyProtection="1">
      <protection locked="0"/>
    </xf>
    <xf numFmtId="0" fontId="0" fillId="0" borderId="0" xfId="0" applyAlignment="1" applyProtection="1">
      <alignment horizontal="center"/>
      <protection locked="0"/>
    </xf>
    <xf numFmtId="9" fontId="0" fillId="0" borderId="0" xfId="3" applyFont="1" applyBorder="1" applyAlignment="1" applyProtection="1">
      <alignment horizontal="center"/>
      <protection locked="0"/>
    </xf>
    <xf numFmtId="0" fontId="0" fillId="0" borderId="22" xfId="0" applyBorder="1" applyProtection="1">
      <protection locked="0"/>
    </xf>
    <xf numFmtId="0" fontId="0" fillId="0" borderId="22" xfId="0" applyBorder="1" applyAlignment="1" applyProtection="1">
      <alignment horizontal="center"/>
      <protection locked="0"/>
    </xf>
    <xf numFmtId="0" fontId="29" fillId="0" borderId="0" xfId="0" applyFont="1" applyProtection="1">
      <protection locked="0"/>
    </xf>
    <xf numFmtId="0" fontId="10" fillId="5" borderId="19" xfId="0" applyFont="1" applyFill="1" applyBorder="1" applyAlignment="1" applyProtection="1">
      <alignment horizontal="left" vertical="center"/>
      <protection locked="0"/>
    </xf>
    <xf numFmtId="0" fontId="10" fillId="5" borderId="20" xfId="0" applyFont="1" applyFill="1" applyBorder="1" applyAlignment="1" applyProtection="1">
      <alignment horizontal="center" vertical="center"/>
      <protection locked="0"/>
    </xf>
    <xf numFmtId="0" fontId="0" fillId="0" borderId="23" xfId="0" applyBorder="1" applyAlignment="1" applyProtection="1">
      <alignment horizontal="center"/>
      <protection locked="0"/>
    </xf>
    <xf numFmtId="0" fontId="0" fillId="0" borderId="24" xfId="0" applyBorder="1" applyAlignment="1" applyProtection="1">
      <alignment horizontal="center"/>
      <protection locked="0"/>
    </xf>
    <xf numFmtId="0" fontId="0" fillId="0" borderId="25" xfId="0" applyBorder="1" applyAlignment="1" applyProtection="1">
      <alignment horizontal="center"/>
      <protection locked="0"/>
    </xf>
    <xf numFmtId="0" fontId="6" fillId="0" borderId="18" xfId="0" applyFont="1" applyBorder="1" applyProtection="1">
      <protection locked="0"/>
    </xf>
    <xf numFmtId="9" fontId="0" fillId="0" borderId="24" xfId="3" applyFont="1" applyBorder="1" applyAlignment="1" applyProtection="1">
      <alignment horizontal="center"/>
      <protection locked="0"/>
    </xf>
    <xf numFmtId="0" fontId="6" fillId="0" borderId="41" xfId="0" applyFont="1" applyBorder="1" applyProtection="1">
      <protection locked="0"/>
    </xf>
    <xf numFmtId="0" fontId="6" fillId="0" borderId="42" xfId="0" applyFont="1" applyBorder="1" applyProtection="1">
      <protection locked="0"/>
    </xf>
    <xf numFmtId="0" fontId="6" fillId="0" borderId="43" xfId="0" applyFont="1" applyBorder="1" applyProtection="1">
      <protection locked="0"/>
    </xf>
    <xf numFmtId="0" fontId="0" fillId="0" borderId="16" xfId="0" applyBorder="1" applyAlignment="1" applyProtection="1">
      <alignment horizontal="center"/>
      <protection locked="0"/>
    </xf>
    <xf numFmtId="0" fontId="6" fillId="0" borderId="39" xfId="0" applyFont="1" applyBorder="1" applyProtection="1">
      <protection locked="0"/>
    </xf>
    <xf numFmtId="0" fontId="0" fillId="0" borderId="10" xfId="0" applyBorder="1" applyProtection="1">
      <protection locked="0"/>
    </xf>
    <xf numFmtId="0" fontId="0" fillId="0" borderId="40" xfId="0" applyBorder="1" applyProtection="1">
      <protection locked="0"/>
    </xf>
    <xf numFmtId="0" fontId="0" fillId="0" borderId="18" xfId="0" applyBorder="1" applyAlignment="1" applyProtection="1">
      <alignment horizontal="center"/>
      <protection locked="0"/>
    </xf>
    <xf numFmtId="0" fontId="6" fillId="0" borderId="37" xfId="0" applyFont="1" applyBorder="1" applyProtection="1">
      <protection locked="0"/>
    </xf>
    <xf numFmtId="0" fontId="0" fillId="0" borderId="9" xfId="0" applyBorder="1" applyProtection="1">
      <protection locked="0"/>
    </xf>
    <xf numFmtId="0" fontId="0" fillId="0" borderId="38" xfId="0" applyBorder="1" applyProtection="1">
      <protection locked="0"/>
    </xf>
    <xf numFmtId="0" fontId="6" fillId="0" borderId="29" xfId="0" applyFont="1" applyBorder="1" applyProtection="1">
      <protection locked="0"/>
    </xf>
    <xf numFmtId="0" fontId="0" fillId="0" borderId="30" xfId="0" applyBorder="1" applyProtection="1">
      <protection locked="0"/>
    </xf>
    <xf numFmtId="0" fontId="0" fillId="0" borderId="31" xfId="0" applyBorder="1" applyProtection="1">
      <protection locked="0"/>
    </xf>
    <xf numFmtId="0" fontId="1" fillId="0" borderId="9" xfId="0" applyFont="1" applyBorder="1" applyProtection="1">
      <protection locked="0"/>
    </xf>
    <xf numFmtId="179" fontId="82" fillId="30" borderId="0" xfId="15" applyNumberFormat="1" applyFont="1" applyFill="1" applyProtection="1">
      <protection locked="0"/>
    </xf>
    <xf numFmtId="0" fontId="61" fillId="25" borderId="59" xfId="0" applyFont="1" applyFill="1" applyBorder="1" applyAlignment="1" applyProtection="1">
      <alignment vertical="center"/>
      <protection locked="0"/>
    </xf>
    <xf numFmtId="0" fontId="61" fillId="25" borderId="60" xfId="0" applyFont="1" applyFill="1" applyBorder="1" applyAlignment="1" applyProtection="1">
      <alignment vertical="center"/>
      <protection locked="0"/>
    </xf>
    <xf numFmtId="0" fontId="61" fillId="25" borderId="61" xfId="0" applyFont="1" applyFill="1" applyBorder="1" applyAlignment="1" applyProtection="1">
      <alignment vertical="center"/>
      <protection locked="0"/>
    </xf>
    <xf numFmtId="0" fontId="62" fillId="26" borderId="62" xfId="0" applyFont="1" applyFill="1" applyBorder="1" applyAlignment="1" applyProtection="1">
      <alignment vertical="center"/>
      <protection locked="0"/>
    </xf>
    <xf numFmtId="0" fontId="63" fillId="26" borderId="63" xfId="0" applyFont="1" applyFill="1" applyBorder="1" applyAlignment="1" applyProtection="1">
      <alignment horizontal="right" vertical="center"/>
      <protection locked="0"/>
    </xf>
    <xf numFmtId="0" fontId="64" fillId="0" borderId="62" xfId="0" applyFont="1" applyBorder="1" applyAlignment="1" applyProtection="1">
      <alignment vertical="center"/>
      <protection locked="0"/>
    </xf>
    <xf numFmtId="0" fontId="65" fillId="0" borderId="63" xfId="0" applyFont="1" applyBorder="1" applyAlignment="1" applyProtection="1">
      <alignment horizontal="right" vertical="center"/>
      <protection locked="0"/>
    </xf>
    <xf numFmtId="9" fontId="0" fillId="0" borderId="9" xfId="3" applyFont="1" applyBorder="1" applyProtection="1">
      <protection locked="0"/>
    </xf>
    <xf numFmtId="9" fontId="0" fillId="0" borderId="9" xfId="0" applyNumberFormat="1" applyBorder="1" applyProtection="1">
      <protection locked="0"/>
    </xf>
    <xf numFmtId="175" fontId="0" fillId="0" borderId="9" xfId="0" applyNumberFormat="1" applyBorder="1" applyProtection="1">
      <protection locked="0"/>
    </xf>
    <xf numFmtId="2" fontId="0" fillId="0" borderId="9" xfId="0" applyNumberFormat="1" applyBorder="1" applyProtection="1">
      <protection locked="0"/>
    </xf>
    <xf numFmtId="0" fontId="6" fillId="0" borderId="9" xfId="0" applyFont="1" applyBorder="1" applyProtection="1">
      <protection locked="0"/>
    </xf>
    <xf numFmtId="0" fontId="94" fillId="0" borderId="0" xfId="0" applyFont="1"/>
    <xf numFmtId="43" fontId="94" fillId="0" borderId="0" xfId="15" applyNumberFormat="1" applyFont="1"/>
    <xf numFmtId="0" fontId="94" fillId="0" borderId="0" xfId="15" applyFont="1"/>
    <xf numFmtId="0" fontId="36" fillId="22" borderId="0" xfId="15" applyFont="1" applyFill="1"/>
    <xf numFmtId="0" fontId="36" fillId="0" borderId="0" xfId="0" applyFont="1"/>
    <xf numFmtId="0" fontId="36" fillId="22" borderId="0" xfId="16" applyFont="1" applyFill="1"/>
    <xf numFmtId="0" fontId="36" fillId="14" borderId="0" xfId="15" applyFont="1" applyFill="1"/>
    <xf numFmtId="0" fontId="36" fillId="14" borderId="0" xfId="16" applyFont="1" applyFill="1"/>
    <xf numFmtId="0" fontId="38" fillId="9" borderId="73" xfId="15" applyFont="1" applyFill="1" applyBorder="1" applyAlignment="1">
      <alignment horizontal="left" vertical="center"/>
    </xf>
    <xf numFmtId="0" fontId="36" fillId="0" borderId="0" xfId="15" applyFont="1"/>
    <xf numFmtId="0" fontId="88" fillId="21" borderId="51" xfId="15" applyFont="1" applyFill="1" applyBorder="1" applyAlignment="1">
      <alignment vertical="center"/>
    </xf>
    <xf numFmtId="0" fontId="46" fillId="0" borderId="57" xfId="15" applyFont="1" applyBorder="1"/>
    <xf numFmtId="0" fontId="89" fillId="21" borderId="51" xfId="15" applyFont="1" applyFill="1" applyBorder="1"/>
    <xf numFmtId="0" fontId="58" fillId="13" borderId="0" xfId="15" applyFont="1" applyFill="1" applyAlignment="1">
      <alignment horizontal="center" vertical="center"/>
    </xf>
    <xf numFmtId="0" fontId="58" fillId="2" borderId="0" xfId="15" applyFont="1" applyFill="1" applyAlignment="1">
      <alignment horizontal="center" vertical="center"/>
    </xf>
    <xf numFmtId="0" fontId="58" fillId="2" borderId="0" xfId="15" applyFont="1" applyFill="1" applyAlignment="1">
      <alignment horizontal="right" vertical="center"/>
    </xf>
    <xf numFmtId="43" fontId="59" fillId="0" borderId="48" xfId="15" applyNumberFormat="1" applyFont="1" applyBorder="1" applyAlignment="1">
      <alignment vertical="center"/>
    </xf>
    <xf numFmtId="0" fontId="58" fillId="13" borderId="47" xfId="15" applyFont="1" applyFill="1" applyBorder="1" applyAlignment="1">
      <alignment vertical="center"/>
    </xf>
    <xf numFmtId="0" fontId="57" fillId="0" borderId="0" xfId="0" applyFont="1"/>
    <xf numFmtId="3" fontId="60" fillId="0" borderId="46" xfId="15" applyNumberFormat="1" applyFont="1" applyBorder="1" applyAlignment="1">
      <alignment horizontal="center" vertical="center"/>
    </xf>
    <xf numFmtId="176" fontId="60" fillId="0" borderId="46" xfId="15" applyNumberFormat="1" applyFont="1" applyBorder="1" applyAlignment="1">
      <alignment horizontal="center" vertical="center"/>
    </xf>
    <xf numFmtId="0" fontId="60" fillId="0" borderId="0" xfId="15" applyFont="1" applyAlignment="1">
      <alignment vertical="center"/>
    </xf>
    <xf numFmtId="0" fontId="39" fillId="9" borderId="0" xfId="15" applyFont="1" applyFill="1" applyAlignment="1">
      <alignment horizontal="left" vertical="center"/>
    </xf>
    <xf numFmtId="0" fontId="58" fillId="13" borderId="0" xfId="15" applyFont="1" applyFill="1" applyAlignment="1">
      <alignment horizontal="right" vertical="center"/>
    </xf>
    <xf numFmtId="165" fontId="36" fillId="0" borderId="0" xfId="15" applyNumberFormat="1" applyFont="1"/>
    <xf numFmtId="167" fontId="86" fillId="7" borderId="45" xfId="15" applyNumberFormat="1" applyFont="1" applyFill="1" applyBorder="1" applyAlignment="1">
      <alignment horizontal="center"/>
    </xf>
    <xf numFmtId="167" fontId="86" fillId="7" borderId="72" xfId="15" applyNumberFormat="1" applyFont="1" applyFill="1" applyBorder="1" applyAlignment="1">
      <alignment horizontal="center"/>
    </xf>
    <xf numFmtId="170" fontId="36" fillId="0" borderId="0" xfId="15" applyNumberFormat="1" applyFont="1"/>
    <xf numFmtId="0" fontId="1" fillId="14" borderId="0" xfId="15" applyFont="1" applyFill="1" applyProtection="1">
      <protection hidden="1"/>
    </xf>
    <xf numFmtId="0" fontId="1" fillId="14" borderId="0" xfId="15" applyFont="1" applyFill="1" applyProtection="1">
      <protection locked="0" hidden="1"/>
    </xf>
    <xf numFmtId="0" fontId="1" fillId="0" borderId="0" xfId="15" applyFont="1" applyProtection="1">
      <protection hidden="1"/>
    </xf>
    <xf numFmtId="0" fontId="1" fillId="14" borderId="0" xfId="15" applyFont="1" applyFill="1" applyAlignment="1" applyProtection="1">
      <alignment horizontal="left" vertical="center" indent="1"/>
      <protection locked="0" hidden="1"/>
    </xf>
    <xf numFmtId="0" fontId="1" fillId="14" borderId="0" xfId="15" applyFont="1" applyFill="1" applyAlignment="1" applyProtection="1">
      <alignment horizontal="left" vertical="center" indent="1"/>
      <protection hidden="1"/>
    </xf>
    <xf numFmtId="0" fontId="1" fillId="14" borderId="0" xfId="15" applyFont="1" applyFill="1" applyAlignment="1" applyProtection="1">
      <alignment horizontal="center"/>
      <protection locked="0" hidden="1"/>
    </xf>
    <xf numFmtId="0" fontId="1" fillId="14" borderId="32" xfId="0" applyFont="1" applyFill="1" applyBorder="1" applyAlignment="1" applyProtection="1">
      <alignment horizontal="left" vertical="center" indent="1"/>
      <protection hidden="1"/>
    </xf>
    <xf numFmtId="0" fontId="1" fillId="14" borderId="6" xfId="0" applyFont="1" applyFill="1" applyBorder="1" applyAlignment="1" applyProtection="1">
      <alignment horizontal="left" vertical="center" indent="1"/>
      <protection hidden="1"/>
    </xf>
    <xf numFmtId="0" fontId="1" fillId="0" borderId="5" xfId="0" applyFont="1" applyBorder="1" applyProtection="1">
      <protection hidden="1"/>
    </xf>
    <xf numFmtId="0" fontId="1" fillId="0" borderId="20" xfId="0" applyFont="1" applyBorder="1" applyProtection="1">
      <protection hidden="1"/>
    </xf>
    <xf numFmtId="0" fontId="1" fillId="0" borderId="21" xfId="0" applyFont="1" applyBorder="1" applyProtection="1">
      <protection hidden="1"/>
    </xf>
    <xf numFmtId="0" fontId="1" fillId="0" borderId="22" xfId="0" applyFont="1" applyBorder="1" applyProtection="1">
      <protection hidden="1"/>
    </xf>
    <xf numFmtId="9" fontId="1" fillId="11" borderId="0" xfId="3" applyFont="1" applyFill="1" applyBorder="1" applyAlignment="1" applyProtection="1">
      <alignment horizontal="center"/>
      <protection hidden="1"/>
    </xf>
    <xf numFmtId="9" fontId="1" fillId="11" borderId="22" xfId="0" applyNumberFormat="1" applyFont="1" applyFill="1" applyBorder="1" applyAlignment="1" applyProtection="1">
      <alignment horizontal="center"/>
      <protection hidden="1"/>
    </xf>
    <xf numFmtId="0" fontId="1" fillId="11" borderId="0" xfId="0" applyFont="1" applyFill="1" applyAlignment="1" applyProtection="1">
      <alignment horizontal="center"/>
      <protection hidden="1"/>
    </xf>
    <xf numFmtId="0" fontId="1" fillId="11" borderId="22" xfId="0" applyFont="1" applyFill="1" applyBorder="1" applyAlignment="1" applyProtection="1">
      <alignment horizontal="center"/>
      <protection hidden="1"/>
    </xf>
    <xf numFmtId="0" fontId="1" fillId="11" borderId="24" xfId="0" applyFont="1" applyFill="1" applyBorder="1" applyAlignment="1" applyProtection="1">
      <alignment horizontal="center"/>
      <protection hidden="1"/>
    </xf>
    <xf numFmtId="0" fontId="1" fillId="11" borderId="25" xfId="0" applyFont="1" applyFill="1" applyBorder="1" applyAlignment="1" applyProtection="1">
      <alignment horizontal="center"/>
      <protection hidden="1"/>
    </xf>
    <xf numFmtId="0" fontId="1" fillId="0" borderId="24" xfId="0" applyFont="1" applyBorder="1" applyProtection="1">
      <protection hidden="1"/>
    </xf>
    <xf numFmtId="0" fontId="1" fillId="0" borderId="23" xfId="0" applyFont="1" applyBorder="1" applyProtection="1">
      <protection hidden="1"/>
    </xf>
    <xf numFmtId="0" fontId="1" fillId="0" borderId="25" xfId="0" applyFont="1" applyBorder="1" applyProtection="1">
      <protection hidden="1"/>
    </xf>
    <xf numFmtId="167" fontId="1" fillId="0" borderId="0" xfId="0" applyNumberFormat="1" applyFont="1" applyProtection="1">
      <protection hidden="1"/>
    </xf>
    <xf numFmtId="0" fontId="1" fillId="14" borderId="0" xfId="0" applyFont="1" applyFill="1" applyProtection="1">
      <protection hidden="1"/>
    </xf>
    <xf numFmtId="0" fontId="1" fillId="10" borderId="21" xfId="0" applyFont="1" applyFill="1" applyBorder="1" applyAlignment="1" applyProtection="1">
      <alignment horizontal="center"/>
      <protection hidden="1"/>
    </xf>
    <xf numFmtId="0" fontId="1" fillId="10" borderId="0" xfId="0" applyFont="1" applyFill="1" applyAlignment="1" applyProtection="1">
      <alignment horizontal="center"/>
      <protection hidden="1"/>
    </xf>
    <xf numFmtId="0" fontId="1" fillId="11" borderId="23" xfId="0" applyFont="1" applyFill="1" applyBorder="1" applyAlignment="1" applyProtection="1">
      <alignment horizontal="center"/>
      <protection hidden="1"/>
    </xf>
    <xf numFmtId="9" fontId="1" fillId="11" borderId="24" xfId="3" applyFont="1" applyFill="1" applyBorder="1" applyAlignment="1" applyProtection="1">
      <alignment horizontal="center"/>
      <protection hidden="1"/>
    </xf>
    <xf numFmtId="9" fontId="1" fillId="10" borderId="0" xfId="3" applyFont="1" applyFill="1" applyBorder="1" applyAlignment="1" applyProtection="1">
      <alignment horizontal="center"/>
      <protection hidden="1"/>
    </xf>
    <xf numFmtId="0" fontId="1" fillId="11" borderId="21" xfId="0" applyFont="1" applyFill="1" applyBorder="1" applyAlignment="1" applyProtection="1">
      <alignment horizontal="center"/>
      <protection hidden="1"/>
    </xf>
    <xf numFmtId="0" fontId="1" fillId="11" borderId="0" xfId="3" applyNumberFormat="1" applyFont="1" applyFill="1" applyBorder="1" applyAlignment="1" applyProtection="1">
      <alignment horizontal="center"/>
      <protection hidden="1"/>
    </xf>
    <xf numFmtId="2" fontId="1" fillId="11" borderId="0" xfId="1" applyNumberFormat="1" applyFont="1" applyFill="1" applyBorder="1" applyAlignment="1" applyProtection="1">
      <alignment horizontal="center" vertical="center"/>
      <protection hidden="1"/>
    </xf>
    <xf numFmtId="2" fontId="1" fillId="11" borderId="0" xfId="0" applyNumberFormat="1" applyFont="1" applyFill="1" applyAlignment="1" applyProtection="1">
      <alignment horizontal="center"/>
      <protection hidden="1"/>
    </xf>
    <xf numFmtId="0" fontId="1" fillId="11" borderId="24" xfId="3" applyNumberFormat="1" applyFont="1" applyFill="1" applyBorder="1" applyAlignment="1" applyProtection="1">
      <alignment horizontal="center"/>
      <protection hidden="1"/>
    </xf>
    <xf numFmtId="2" fontId="1" fillId="11" borderId="24" xfId="0" applyNumberFormat="1" applyFont="1" applyFill="1" applyBorder="1" applyAlignment="1" applyProtection="1">
      <alignment horizontal="center"/>
      <protection hidden="1"/>
    </xf>
    <xf numFmtId="0" fontId="1" fillId="2" borderId="24" xfId="0" applyFont="1" applyFill="1" applyBorder="1" applyAlignment="1" applyProtection="1">
      <alignment horizontal="center"/>
      <protection locked="0" hidden="1"/>
    </xf>
    <xf numFmtId="43" fontId="1" fillId="0" borderId="22" xfId="0" applyNumberFormat="1" applyFont="1" applyBorder="1" applyProtection="1">
      <protection hidden="1"/>
    </xf>
    <xf numFmtId="44" fontId="1" fillId="0" borderId="0" xfId="0" applyNumberFormat="1" applyFont="1" applyProtection="1">
      <protection hidden="1"/>
    </xf>
    <xf numFmtId="43" fontId="1" fillId="0" borderId="0" xfId="0" applyNumberFormat="1" applyFont="1" applyProtection="1">
      <protection hidden="1"/>
    </xf>
    <xf numFmtId="1" fontId="1" fillId="2" borderId="21" xfId="0" applyNumberFormat="1" applyFont="1" applyFill="1" applyBorder="1" applyAlignment="1" applyProtection="1">
      <alignment horizontal="center"/>
      <protection locked="0" hidden="1"/>
    </xf>
    <xf numFmtId="1" fontId="1" fillId="11" borderId="0" xfId="0" applyNumberFormat="1" applyFont="1" applyFill="1" applyAlignment="1" applyProtection="1">
      <alignment horizontal="center"/>
      <protection hidden="1"/>
    </xf>
    <xf numFmtId="1" fontId="1" fillId="11" borderId="22" xfId="0" applyNumberFormat="1" applyFont="1" applyFill="1" applyBorder="1" applyAlignment="1" applyProtection="1">
      <alignment horizontal="center"/>
      <protection hidden="1"/>
    </xf>
    <xf numFmtId="174" fontId="1" fillId="0" borderId="0" xfId="0" applyNumberFormat="1" applyFont="1" applyProtection="1">
      <protection hidden="1"/>
    </xf>
    <xf numFmtId="43" fontId="1" fillId="0" borderId="25" xfId="0" applyNumberFormat="1" applyFont="1" applyBorder="1" applyProtection="1">
      <protection hidden="1"/>
    </xf>
    <xf numFmtId="172" fontId="1" fillId="0" borderId="0" xfId="1" applyNumberFormat="1" applyFont="1" applyProtection="1">
      <protection hidden="1"/>
    </xf>
    <xf numFmtId="0" fontId="1" fillId="0" borderId="9" xfId="0" applyFont="1" applyBorder="1" applyAlignment="1" applyProtection="1">
      <alignment horizontal="center"/>
      <protection hidden="1"/>
    </xf>
    <xf numFmtId="0" fontId="1" fillId="0" borderId="9" xfId="0" applyFont="1" applyBorder="1" applyProtection="1">
      <protection hidden="1"/>
    </xf>
    <xf numFmtId="0" fontId="1" fillId="2" borderId="9" xfId="0" applyFont="1" applyFill="1" applyBorder="1" applyProtection="1">
      <protection hidden="1"/>
    </xf>
    <xf numFmtId="9" fontId="1" fillId="0" borderId="9" xfId="3" applyFont="1" applyBorder="1" applyProtection="1">
      <protection hidden="1"/>
    </xf>
    <xf numFmtId="9" fontId="1" fillId="2" borderId="9" xfId="0" applyNumberFormat="1" applyFont="1" applyFill="1" applyBorder="1" applyProtection="1">
      <protection hidden="1"/>
    </xf>
    <xf numFmtId="0" fontId="1" fillId="0" borderId="0" xfId="0" applyFont="1" applyProtection="1">
      <protection locked="0"/>
    </xf>
    <xf numFmtId="0" fontId="1" fillId="0" borderId="21" xfId="0" applyFont="1" applyBorder="1" applyProtection="1">
      <protection locked="0"/>
    </xf>
    <xf numFmtId="0" fontId="1" fillId="0" borderId="0" xfId="0" applyFont="1" applyAlignment="1" applyProtection="1">
      <alignment horizontal="center"/>
      <protection locked="0"/>
    </xf>
    <xf numFmtId="0" fontId="1" fillId="0" borderId="22" xfId="0" applyFont="1" applyBorder="1" applyAlignment="1" applyProtection="1">
      <alignment horizontal="center"/>
      <protection locked="0"/>
    </xf>
    <xf numFmtId="0" fontId="1" fillId="0" borderId="23" xfId="0" applyFont="1" applyBorder="1" applyProtection="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43" fontId="1" fillId="0" borderId="9" xfId="0" applyNumberFormat="1" applyFont="1" applyBorder="1" applyProtection="1">
      <protection locked="0"/>
    </xf>
    <xf numFmtId="43" fontId="1" fillId="6" borderId="9" xfId="0" applyNumberFormat="1" applyFont="1" applyFill="1" applyBorder="1" applyProtection="1">
      <protection locked="0"/>
    </xf>
    <xf numFmtId="0" fontId="1" fillId="0" borderId="14" xfId="0" applyFont="1" applyBorder="1" applyProtection="1">
      <protection locked="0"/>
    </xf>
    <xf numFmtId="167" fontId="1" fillId="0" borderId="10" xfId="1" applyNumberFormat="1" applyFont="1" applyBorder="1" applyProtection="1">
      <protection locked="0"/>
    </xf>
    <xf numFmtId="43" fontId="1" fillId="0" borderId="10" xfId="1" applyFont="1" applyBorder="1" applyProtection="1">
      <protection locked="0"/>
    </xf>
    <xf numFmtId="164" fontId="1" fillId="0" borderId="15" xfId="0" applyNumberFormat="1" applyFont="1" applyBorder="1" applyProtection="1">
      <protection locked="0"/>
    </xf>
    <xf numFmtId="0" fontId="1" fillId="0" borderId="12" xfId="0" applyFont="1" applyBorder="1" applyProtection="1">
      <protection locked="0"/>
    </xf>
    <xf numFmtId="167" fontId="1" fillId="0" borderId="9" xfId="0" applyNumberFormat="1" applyFont="1" applyBorder="1" applyProtection="1">
      <protection locked="0"/>
    </xf>
    <xf numFmtId="0" fontId="1" fillId="0" borderId="11" xfId="0" applyFont="1" applyBorder="1" applyProtection="1">
      <protection locked="0"/>
    </xf>
    <xf numFmtId="167" fontId="1" fillId="0" borderId="9" xfId="1" applyNumberFormat="1" applyFont="1" applyBorder="1" applyProtection="1">
      <protection locked="0"/>
    </xf>
    <xf numFmtId="164" fontId="1" fillId="0" borderId="12" xfId="0" applyNumberFormat="1" applyFont="1" applyBorder="1" applyProtection="1">
      <protection locked="0"/>
    </xf>
    <xf numFmtId="0" fontId="1" fillId="0" borderId="34" xfId="0" applyFont="1" applyBorder="1" applyProtection="1">
      <protection locked="0"/>
    </xf>
    <xf numFmtId="167" fontId="1" fillId="0" borderId="30" xfId="1" applyNumberFormat="1" applyFont="1" applyBorder="1" applyProtection="1">
      <protection locked="0"/>
    </xf>
    <xf numFmtId="164" fontId="1" fillId="0" borderId="33" xfId="0" applyNumberFormat="1" applyFont="1" applyBorder="1" applyProtection="1">
      <protection locked="0"/>
    </xf>
    <xf numFmtId="167" fontId="1" fillId="0" borderId="0" xfId="1" applyNumberFormat="1" applyFont="1" applyProtection="1">
      <protection locked="0"/>
    </xf>
    <xf numFmtId="167" fontId="1" fillId="0" borderId="0" xfId="0" applyNumberFormat="1" applyFont="1" applyProtection="1">
      <protection locked="0"/>
    </xf>
    <xf numFmtId="43" fontId="1" fillId="0" borderId="0" xfId="0" applyNumberFormat="1" applyFont="1" applyProtection="1">
      <protection locked="0"/>
    </xf>
    <xf numFmtId="0" fontId="1" fillId="2" borderId="23" xfId="0" applyFont="1" applyFill="1" applyBorder="1" applyProtection="1">
      <protection locked="0"/>
    </xf>
    <xf numFmtId="0" fontId="1" fillId="11" borderId="25" xfId="0" applyFont="1" applyFill="1" applyBorder="1" applyAlignment="1" applyProtection="1">
      <alignment horizontal="center"/>
      <protection locked="0"/>
    </xf>
    <xf numFmtId="0" fontId="1" fillId="0" borderId="9" xfId="0" applyFont="1" applyBorder="1" applyAlignment="1" applyProtection="1">
      <alignment horizontal="center"/>
      <protection locked="0"/>
    </xf>
    <xf numFmtId="0" fontId="1" fillId="2" borderId="9" xfId="0" applyFont="1" applyFill="1" applyBorder="1" applyProtection="1">
      <protection locked="0"/>
    </xf>
    <xf numFmtId="9" fontId="1" fillId="2" borderId="9" xfId="0" applyNumberFormat="1" applyFont="1" applyFill="1" applyBorder="1" applyProtection="1">
      <protection locked="0"/>
    </xf>
    <xf numFmtId="0" fontId="1" fillId="2" borderId="9" xfId="0" applyFont="1" applyFill="1" applyBorder="1" applyAlignment="1" applyProtection="1">
      <alignment horizontal="center"/>
      <protection locked="0"/>
    </xf>
    <xf numFmtId="2" fontId="1" fillId="0" borderId="0" xfId="0" applyNumberFormat="1" applyFont="1" applyProtection="1">
      <protection locked="0"/>
    </xf>
    <xf numFmtId="0" fontId="1" fillId="0" borderId="0" xfId="0" applyFont="1"/>
    <xf numFmtId="0" fontId="0" fillId="10" borderId="2" xfId="0" applyFill="1" applyBorder="1" applyProtection="1">
      <protection hidden="1"/>
    </xf>
    <xf numFmtId="0" fontId="10" fillId="19" borderId="0" xfId="0" applyFont="1" applyFill="1" applyAlignment="1" applyProtection="1">
      <alignment horizontal="center" vertical="center"/>
      <protection hidden="1"/>
    </xf>
    <xf numFmtId="0" fontId="10" fillId="19" borderId="0" xfId="0" applyFont="1" applyFill="1" applyAlignment="1" applyProtection="1">
      <alignment horizontal="center" vertical="center" wrapText="1"/>
      <protection hidden="1"/>
    </xf>
    <xf numFmtId="0" fontId="1" fillId="0" borderId="19" xfId="0" applyFont="1" applyBorder="1" applyProtection="1">
      <protection locked="0"/>
    </xf>
    <xf numFmtId="0" fontId="1" fillId="0" borderId="5" xfId="0" applyFont="1" applyBorder="1" applyProtection="1">
      <protection locked="0"/>
    </xf>
    <xf numFmtId="0" fontId="1" fillId="0" borderId="20" xfId="0" applyFont="1" applyBorder="1" applyProtection="1">
      <protection locked="0"/>
    </xf>
    <xf numFmtId="0" fontId="1" fillId="0" borderId="24" xfId="0" applyFont="1" applyBorder="1" applyProtection="1">
      <protection locked="0"/>
    </xf>
    <xf numFmtId="0" fontId="1" fillId="0" borderId="16" xfId="0" applyFont="1" applyBorder="1" applyProtection="1">
      <protection locked="0"/>
    </xf>
    <xf numFmtId="0" fontId="1" fillId="0" borderId="17" xfId="0" applyFont="1" applyBorder="1" applyProtection="1">
      <protection locked="0"/>
    </xf>
    <xf numFmtId="0" fontId="1" fillId="0" borderId="18" xfId="0" applyFont="1" applyBorder="1" applyProtection="1">
      <protection locked="0"/>
    </xf>
    <xf numFmtId="0" fontId="0" fillId="10" borderId="95" xfId="0" applyFill="1" applyBorder="1" applyProtection="1">
      <protection hidden="1"/>
    </xf>
    <xf numFmtId="0" fontId="0" fillId="10" borderId="94" xfId="0" applyFill="1" applyBorder="1" applyProtection="1">
      <protection hidden="1"/>
    </xf>
    <xf numFmtId="0" fontId="0" fillId="10" borderId="96" xfId="0" applyFill="1" applyBorder="1" applyProtection="1">
      <protection hidden="1"/>
    </xf>
    <xf numFmtId="0" fontId="1" fillId="11" borderId="15" xfId="0" applyFont="1" applyFill="1" applyBorder="1" applyAlignment="1" applyProtection="1">
      <alignment horizontal="center"/>
      <protection hidden="1"/>
    </xf>
    <xf numFmtId="0" fontId="1" fillId="11" borderId="13" xfId="0" applyFont="1" applyFill="1" applyBorder="1" applyAlignment="1" applyProtection="1">
      <alignment horizontal="center"/>
      <protection hidden="1"/>
    </xf>
    <xf numFmtId="0" fontId="1" fillId="11" borderId="14" xfId="0" applyFont="1" applyFill="1" applyBorder="1" applyAlignment="1" applyProtection="1">
      <alignment horizontal="center"/>
      <protection hidden="1"/>
    </xf>
    <xf numFmtId="166" fontId="0" fillId="0" borderId="0" xfId="2" applyNumberFormat="1" applyFont="1" applyFill="1" applyBorder="1" applyAlignment="1" applyProtection="1">
      <alignment horizontal="center"/>
      <protection hidden="1"/>
    </xf>
    <xf numFmtId="166" fontId="1" fillId="0" borderId="0" xfId="0" applyNumberFormat="1" applyFont="1" applyAlignment="1" applyProtection="1">
      <alignment horizontal="center"/>
      <protection hidden="1"/>
    </xf>
    <xf numFmtId="0" fontId="0" fillId="10" borderId="5" xfId="0" applyFill="1" applyBorder="1" applyProtection="1">
      <protection hidden="1"/>
    </xf>
    <xf numFmtId="0" fontId="0" fillId="10" borderId="20" xfId="0" applyFill="1" applyBorder="1" applyProtection="1">
      <protection hidden="1"/>
    </xf>
    <xf numFmtId="0" fontId="0" fillId="11" borderId="23" xfId="2" applyNumberFormat="1" applyFont="1" applyFill="1" applyBorder="1" applyAlignment="1" applyProtection="1">
      <alignment horizontal="center"/>
      <protection hidden="1"/>
    </xf>
    <xf numFmtId="0" fontId="0" fillId="11" borderId="24" xfId="2" applyNumberFormat="1" applyFont="1" applyFill="1" applyBorder="1" applyAlignment="1" applyProtection="1">
      <alignment horizontal="center"/>
      <protection hidden="1"/>
    </xf>
    <xf numFmtId="0" fontId="0" fillId="11" borderId="25" xfId="2" applyNumberFormat="1" applyFont="1" applyFill="1" applyBorder="1" applyAlignment="1" applyProtection="1">
      <alignment horizontal="center"/>
      <protection hidden="1"/>
    </xf>
    <xf numFmtId="0" fontId="1" fillId="0" borderId="0" xfId="3" applyNumberFormat="1" applyFont="1" applyFill="1" applyBorder="1" applyAlignment="1" applyProtection="1">
      <alignment horizontal="center"/>
      <protection hidden="1"/>
    </xf>
    <xf numFmtId="2" fontId="0" fillId="0" borderId="0" xfId="1" applyNumberFormat="1" applyFont="1" applyFill="1" applyBorder="1" applyAlignment="1" applyProtection="1">
      <alignment horizontal="center" vertical="center"/>
      <protection hidden="1"/>
    </xf>
    <xf numFmtId="0" fontId="67" fillId="29" borderId="44" xfId="15" applyFont="1" applyFill="1" applyBorder="1" applyAlignment="1">
      <alignment horizontal="left" vertical="top" indent="2"/>
    </xf>
    <xf numFmtId="0" fontId="67" fillId="29" borderId="44" xfId="15" applyFont="1" applyFill="1" applyBorder="1" applyAlignment="1">
      <alignment horizontal="left" vertical="top" wrapText="1"/>
    </xf>
    <xf numFmtId="0" fontId="67" fillId="29" borderId="44" xfId="15" applyFont="1" applyFill="1" applyBorder="1" applyAlignment="1">
      <alignment horizontal="left" vertical="center"/>
    </xf>
    <xf numFmtId="0" fontId="68" fillId="0" borderId="0" xfId="7" applyFont="1" applyAlignment="1">
      <alignment horizontal="left" vertical="center" wrapText="1" indent="16"/>
    </xf>
    <xf numFmtId="0" fontId="78" fillId="22" borderId="0" xfId="15" applyFont="1" applyFill="1" applyAlignment="1">
      <alignment horizontal="left" vertical="center" wrapText="1"/>
    </xf>
    <xf numFmtId="3" fontId="79" fillId="0" borderId="0" xfId="18" applyNumberFormat="1" applyFont="1" applyBorder="1" applyAlignment="1">
      <alignment horizontal="left" vertical="center" indent="2"/>
    </xf>
    <xf numFmtId="3" fontId="69" fillId="0" borderId="0" xfId="18" applyNumberFormat="1" applyFont="1" applyBorder="1" applyAlignment="1">
      <alignment horizontal="left" vertical="center" indent="2"/>
    </xf>
    <xf numFmtId="0" fontId="67" fillId="29" borderId="0" xfId="15" applyFont="1" applyFill="1" applyAlignment="1">
      <alignment horizontal="left" vertical="top" wrapText="1" indent="2"/>
    </xf>
    <xf numFmtId="0" fontId="70" fillId="29" borderId="44" xfId="15" applyFont="1" applyFill="1" applyBorder="1" applyAlignment="1">
      <alignment horizontal="left" vertical="center"/>
    </xf>
    <xf numFmtId="0" fontId="80" fillId="29" borderId="0" xfId="15" applyFont="1" applyFill="1" applyAlignment="1">
      <alignment horizontal="left" vertical="top" wrapText="1" indent="2"/>
    </xf>
    <xf numFmtId="0" fontId="70" fillId="29" borderId="44" xfId="15" applyFont="1" applyFill="1" applyBorder="1" applyAlignment="1">
      <alignment horizontal="left" vertical="center" indent="2"/>
    </xf>
    <xf numFmtId="0" fontId="67" fillId="29" borderId="0" xfId="0" applyFont="1" applyFill="1" applyAlignment="1">
      <alignment horizontal="left" vertical="center" wrapText="1" indent="2"/>
    </xf>
    <xf numFmtId="0" fontId="15" fillId="0" borderId="0" xfId="15" applyFont="1" applyAlignment="1">
      <alignment horizontal="right" vertical="center"/>
    </xf>
    <xf numFmtId="0" fontId="67" fillId="29" borderId="44" xfId="15" applyFont="1" applyFill="1" applyBorder="1" applyAlignment="1">
      <alignment horizontal="left" vertical="top"/>
    </xf>
    <xf numFmtId="0" fontId="81" fillId="29" borderId="0" xfId="15" applyFont="1" applyFill="1" applyAlignment="1">
      <alignment horizontal="left" vertical="top" wrapText="1" indent="2"/>
    </xf>
    <xf numFmtId="0" fontId="84" fillId="0" borderId="70" xfId="15" applyFont="1" applyBorder="1" applyAlignment="1" applyProtection="1">
      <alignment horizontal="center" vertical="center"/>
      <protection hidden="1"/>
    </xf>
    <xf numFmtId="0" fontId="84" fillId="0" borderId="67" xfId="15" applyFont="1" applyBorder="1" applyAlignment="1" applyProtection="1">
      <alignment horizontal="center" vertical="center"/>
      <protection hidden="1"/>
    </xf>
    <xf numFmtId="0" fontId="84" fillId="0" borderId="83" xfId="0" applyFont="1" applyBorder="1" applyAlignment="1" applyProtection="1">
      <alignment horizontal="center" vertical="center" wrapText="1"/>
      <protection hidden="1"/>
    </xf>
    <xf numFmtId="0" fontId="84" fillId="0" borderId="88" xfId="0" applyFont="1" applyBorder="1" applyAlignment="1" applyProtection="1">
      <alignment horizontal="center" vertical="center" wrapText="1"/>
      <protection hidden="1"/>
    </xf>
    <xf numFmtId="0" fontId="84" fillId="0" borderId="90" xfId="0" applyFont="1" applyBorder="1" applyAlignment="1" applyProtection="1">
      <alignment horizontal="center" vertical="center" wrapText="1"/>
      <protection hidden="1"/>
    </xf>
    <xf numFmtId="3" fontId="73" fillId="27" borderId="64" xfId="15" applyNumberFormat="1" applyFont="1" applyFill="1" applyBorder="1" applyAlignment="1" applyProtection="1">
      <alignment horizontal="center" vertical="center"/>
      <protection locked="0" hidden="1"/>
    </xf>
    <xf numFmtId="3" fontId="73" fillId="27" borderId="65" xfId="15" applyNumberFormat="1" applyFont="1" applyFill="1" applyBorder="1" applyAlignment="1" applyProtection="1">
      <alignment horizontal="center" vertical="center"/>
      <protection locked="0" hidden="1"/>
    </xf>
    <xf numFmtId="3" fontId="73" fillId="27" borderId="66" xfId="15" applyNumberFormat="1" applyFont="1" applyFill="1" applyBorder="1" applyAlignment="1" applyProtection="1">
      <alignment horizontal="center" vertical="center"/>
      <protection locked="0" hidden="1"/>
    </xf>
    <xf numFmtId="0" fontId="52" fillId="14" borderId="54" xfId="15" applyFont="1" applyFill="1" applyBorder="1" applyAlignment="1" applyProtection="1">
      <alignment horizontal="left" vertical="center"/>
      <protection hidden="1"/>
    </xf>
    <xf numFmtId="0" fontId="52" fillId="14" borderId="55" xfId="15" applyFont="1" applyFill="1" applyBorder="1" applyAlignment="1" applyProtection="1">
      <alignment horizontal="left" vertical="center"/>
      <protection hidden="1"/>
    </xf>
    <xf numFmtId="0" fontId="20" fillId="28" borderId="58" xfId="15" applyFont="1" applyFill="1" applyBorder="1" applyAlignment="1" applyProtection="1">
      <alignment horizontal="center" vertical="center"/>
      <protection locked="0" hidden="1"/>
    </xf>
    <xf numFmtId="0" fontId="20" fillId="28" borderId="54" xfId="15" applyFont="1" applyFill="1" applyBorder="1" applyAlignment="1" applyProtection="1">
      <alignment horizontal="center" vertical="center"/>
      <protection locked="0" hidden="1"/>
    </xf>
    <xf numFmtId="0" fontId="74" fillId="0" borderId="0" xfId="15" applyFont="1" applyAlignment="1" applyProtection="1">
      <alignment horizontal="left" vertical="center"/>
      <protection hidden="1"/>
    </xf>
    <xf numFmtId="0" fontId="75" fillId="0" borderId="0" xfId="15" applyFont="1" applyAlignment="1" applyProtection="1">
      <alignment horizontal="left" vertical="center"/>
      <protection hidden="1"/>
    </xf>
    <xf numFmtId="0" fontId="76" fillId="0" borderId="0" xfId="15" applyFont="1" applyAlignment="1" applyProtection="1">
      <alignment horizontal="left" vertical="center"/>
      <protection hidden="1"/>
    </xf>
    <xf numFmtId="0" fontId="20" fillId="20" borderId="58" xfId="15" applyFont="1" applyFill="1" applyBorder="1" applyAlignment="1" applyProtection="1">
      <alignment horizontal="center" vertical="center"/>
      <protection locked="0" hidden="1"/>
    </xf>
    <xf numFmtId="0" fontId="20" fillId="20" borderId="78" xfId="15" applyFont="1" applyFill="1" applyBorder="1" applyAlignment="1" applyProtection="1">
      <alignment horizontal="center" vertical="center"/>
      <protection locked="0" hidden="1"/>
    </xf>
    <xf numFmtId="0" fontId="52" fillId="14" borderId="75" xfId="15" applyFont="1" applyFill="1" applyBorder="1" applyAlignment="1" applyProtection="1">
      <alignment horizontal="left" vertical="center"/>
      <protection hidden="1"/>
    </xf>
    <xf numFmtId="0" fontId="52" fillId="14" borderId="76" xfId="15" applyFont="1" applyFill="1" applyBorder="1" applyAlignment="1" applyProtection="1">
      <alignment horizontal="left" vertical="center"/>
      <protection hidden="1"/>
    </xf>
    <xf numFmtId="0" fontId="52" fillId="14" borderId="80" xfId="15" applyFont="1" applyFill="1" applyBorder="1" applyAlignment="1" applyProtection="1">
      <alignment horizontal="left" vertical="center"/>
      <protection hidden="1"/>
    </xf>
    <xf numFmtId="0" fontId="52" fillId="14" borderId="81" xfId="15" applyFont="1" applyFill="1" applyBorder="1" applyAlignment="1" applyProtection="1">
      <alignment horizontal="left" vertical="center"/>
      <protection hidden="1"/>
    </xf>
    <xf numFmtId="0" fontId="52" fillId="14" borderId="0" xfId="15" applyFont="1" applyFill="1" applyAlignment="1" applyProtection="1">
      <alignment horizontal="left" vertical="center" indent="2"/>
      <protection hidden="1"/>
    </xf>
    <xf numFmtId="0" fontId="52" fillId="0" borderId="58" xfId="15" applyFont="1" applyBorder="1" applyAlignment="1" applyProtection="1">
      <alignment horizontal="left" vertical="center"/>
      <protection hidden="1"/>
    </xf>
    <xf numFmtId="0" fontId="52" fillId="0" borderId="54" xfId="15" applyFont="1" applyBorder="1" applyAlignment="1" applyProtection="1">
      <alignment horizontal="left" vertical="center"/>
      <protection hidden="1"/>
    </xf>
    <xf numFmtId="0" fontId="84" fillId="14" borderId="0" xfId="15" applyFont="1" applyFill="1" applyAlignment="1" applyProtection="1">
      <alignment horizontal="center" vertical="center"/>
      <protection hidden="1"/>
    </xf>
    <xf numFmtId="0" fontId="84" fillId="14" borderId="56" xfId="15" applyFont="1" applyFill="1" applyBorder="1" applyAlignment="1" applyProtection="1">
      <alignment horizontal="center" vertical="center"/>
      <protection hidden="1"/>
    </xf>
    <xf numFmtId="0" fontId="52" fillId="0" borderId="68" xfId="15" applyFont="1" applyBorder="1" applyAlignment="1" applyProtection="1">
      <alignment horizontal="left" vertical="center"/>
      <protection hidden="1"/>
    </xf>
    <xf numFmtId="0" fontId="52" fillId="0" borderId="69" xfId="15" applyFont="1" applyBorder="1" applyAlignment="1" applyProtection="1">
      <alignment horizontal="left" vertical="center"/>
      <protection hidden="1"/>
    </xf>
    <xf numFmtId="0" fontId="52" fillId="0" borderId="52" xfId="15" applyFont="1" applyBorder="1" applyAlignment="1" applyProtection="1">
      <alignment horizontal="left" vertical="center"/>
      <protection hidden="1"/>
    </xf>
    <xf numFmtId="0" fontId="52" fillId="0" borderId="53" xfId="15" applyFont="1" applyBorder="1" applyAlignment="1" applyProtection="1">
      <alignment horizontal="left" vertical="center"/>
      <protection hidden="1"/>
    </xf>
    <xf numFmtId="0" fontId="75" fillId="0" borderId="0" xfId="15" applyFont="1" applyAlignment="1" applyProtection="1">
      <alignment horizontal="left" vertical="center" indent="1"/>
      <protection hidden="1"/>
    </xf>
    <xf numFmtId="0" fontId="74" fillId="0" borderId="0" xfId="15" applyFont="1" applyAlignment="1" applyProtection="1">
      <alignment horizontal="left" vertical="center" indent="1"/>
      <protection hidden="1"/>
    </xf>
    <xf numFmtId="0" fontId="52" fillId="14" borderId="64" xfId="15" applyFont="1" applyFill="1" applyBorder="1" applyAlignment="1" applyProtection="1">
      <alignment horizontal="left" vertical="center" indent="2"/>
      <protection hidden="1"/>
    </xf>
    <xf numFmtId="0" fontId="52" fillId="14" borderId="65" xfId="15" applyFont="1" applyFill="1" applyBorder="1" applyAlignment="1" applyProtection="1">
      <alignment horizontal="left" vertical="center" indent="2"/>
      <protection hidden="1"/>
    </xf>
    <xf numFmtId="0" fontId="52" fillId="14" borderId="66" xfId="15" applyFont="1" applyFill="1" applyBorder="1" applyAlignment="1" applyProtection="1">
      <alignment horizontal="left" vertical="center" indent="2"/>
      <protection hidden="1"/>
    </xf>
    <xf numFmtId="0" fontId="52" fillId="14" borderId="54" xfId="15" applyFont="1" applyFill="1" applyBorder="1" applyAlignment="1" applyProtection="1">
      <alignment horizontal="left" vertical="center"/>
      <protection locked="0" hidden="1"/>
    </xf>
    <xf numFmtId="0" fontId="52" fillId="14" borderId="55" xfId="15" applyFont="1" applyFill="1" applyBorder="1" applyAlignment="1" applyProtection="1">
      <alignment horizontal="left" vertical="center"/>
      <protection locked="0" hidden="1"/>
    </xf>
    <xf numFmtId="0" fontId="52" fillId="14" borderId="52" xfId="15" applyFont="1" applyFill="1" applyBorder="1" applyAlignment="1" applyProtection="1">
      <alignment horizontal="left" vertical="center"/>
      <protection hidden="1"/>
    </xf>
    <xf numFmtId="0" fontId="52" fillId="14" borderId="53" xfId="15" applyFont="1" applyFill="1" applyBorder="1" applyAlignment="1" applyProtection="1">
      <alignment horizontal="left" vertical="center"/>
      <protection hidden="1"/>
    </xf>
    <xf numFmtId="0" fontId="52" fillId="14" borderId="91" xfId="15" applyFont="1" applyFill="1" applyBorder="1" applyAlignment="1" applyProtection="1">
      <alignment horizontal="left" vertical="center"/>
      <protection hidden="1"/>
    </xf>
    <xf numFmtId="0" fontId="52" fillId="14" borderId="92" xfId="15" applyFont="1" applyFill="1" applyBorder="1" applyAlignment="1" applyProtection="1">
      <alignment horizontal="left" vertical="center"/>
      <protection hidden="1"/>
    </xf>
    <xf numFmtId="0" fontId="52" fillId="14" borderId="84" xfId="15" applyFont="1" applyFill="1" applyBorder="1" applyAlignment="1" applyProtection="1">
      <alignment horizontal="left" vertical="center"/>
      <protection hidden="1"/>
    </xf>
    <xf numFmtId="0" fontId="52" fillId="14" borderId="85" xfId="15" applyFont="1" applyFill="1" applyBorder="1" applyAlignment="1" applyProtection="1">
      <alignment horizontal="left" vertical="center"/>
      <protection hidden="1"/>
    </xf>
    <xf numFmtId="9" fontId="49" fillId="20" borderId="86" xfId="19" applyFont="1" applyFill="1" applyBorder="1" applyAlignment="1" applyProtection="1">
      <alignment horizontal="center" vertical="center"/>
      <protection locked="0" hidden="1"/>
    </xf>
    <xf numFmtId="9" fontId="49" fillId="20" borderId="87" xfId="19" applyFont="1" applyFill="1" applyBorder="1" applyAlignment="1" applyProtection="1">
      <alignment horizontal="center" vertical="center"/>
      <protection locked="0" hidden="1"/>
    </xf>
    <xf numFmtId="0" fontId="52" fillId="14" borderId="68" xfId="15" applyFont="1" applyFill="1" applyBorder="1" applyAlignment="1" applyProtection="1">
      <alignment horizontal="left" vertical="center"/>
      <protection hidden="1"/>
    </xf>
    <xf numFmtId="0" fontId="52" fillId="14" borderId="69" xfId="15" applyFont="1" applyFill="1" applyBorder="1" applyAlignment="1" applyProtection="1">
      <alignment horizontal="left" vertical="center"/>
      <protection hidden="1"/>
    </xf>
    <xf numFmtId="0" fontId="52" fillId="0" borderId="55" xfId="15" applyFont="1" applyBorder="1" applyAlignment="1" applyProtection="1">
      <alignment horizontal="left" vertical="center"/>
      <protection hidden="1"/>
    </xf>
    <xf numFmtId="0" fontId="94" fillId="0" borderId="0" xfId="15" applyFont="1" applyAlignment="1">
      <alignment horizontal="center" wrapText="1"/>
    </xf>
    <xf numFmtId="0" fontId="46" fillId="13" borderId="0" xfId="15" applyFont="1" applyFill="1" applyAlignment="1" applyProtection="1">
      <alignment horizontal="left" vertical="center"/>
      <protection hidden="1"/>
    </xf>
    <xf numFmtId="0" fontId="10" fillId="19" borderId="0" xfId="0" applyFont="1" applyFill="1" applyAlignment="1" applyProtection="1">
      <alignment horizontal="center" vertical="center"/>
      <protection hidden="1"/>
    </xf>
    <xf numFmtId="0" fontId="10" fillId="19" borderId="0" xfId="0" applyFont="1" applyFill="1" applyAlignment="1" applyProtection="1">
      <alignment horizontal="center" vertical="center" wrapText="1"/>
      <protection hidden="1"/>
    </xf>
    <xf numFmtId="0" fontId="10" fillId="19" borderId="19" xfId="0" applyFont="1" applyFill="1" applyBorder="1" applyAlignment="1" applyProtection="1">
      <alignment horizontal="center"/>
      <protection hidden="1"/>
    </xf>
    <xf numFmtId="0" fontId="10" fillId="19" borderId="5" xfId="0" applyFont="1" applyFill="1" applyBorder="1" applyAlignment="1" applyProtection="1">
      <alignment horizontal="center"/>
      <protection hidden="1"/>
    </xf>
    <xf numFmtId="0" fontId="10" fillId="19" borderId="20" xfId="0" applyFont="1" applyFill="1" applyBorder="1" applyAlignment="1" applyProtection="1">
      <alignment horizontal="center"/>
      <protection hidden="1"/>
    </xf>
    <xf numFmtId="0" fontId="0" fillId="10" borderId="21" xfId="0" applyFill="1" applyBorder="1" applyAlignment="1" applyProtection="1">
      <alignment horizontal="center"/>
      <protection hidden="1"/>
    </xf>
    <xf numFmtId="0" fontId="0" fillId="10" borderId="0" xfId="0" applyFill="1" applyAlignment="1" applyProtection="1">
      <alignment horizontal="center"/>
      <protection hidden="1"/>
    </xf>
    <xf numFmtId="0" fontId="0" fillId="10" borderId="22" xfId="0" applyFill="1" applyBorder="1" applyAlignment="1" applyProtection="1">
      <alignment horizontal="center"/>
      <protection hidden="1"/>
    </xf>
    <xf numFmtId="0" fontId="0" fillId="11" borderId="23" xfId="0" applyFill="1" applyBorder="1" applyAlignment="1" applyProtection="1">
      <alignment horizontal="center"/>
      <protection hidden="1"/>
    </xf>
    <xf numFmtId="0" fontId="0" fillId="11" borderId="24" xfId="0" applyFill="1" applyBorder="1" applyAlignment="1" applyProtection="1">
      <alignment horizontal="center"/>
      <protection hidden="1"/>
    </xf>
    <xf numFmtId="0" fontId="0" fillId="11" borderId="25" xfId="0" applyFill="1" applyBorder="1" applyAlignment="1" applyProtection="1">
      <alignment horizontal="center"/>
      <protection hidden="1"/>
    </xf>
    <xf numFmtId="0" fontId="0" fillId="18" borderId="19" xfId="0" applyFill="1" applyBorder="1" applyAlignment="1" applyProtection="1">
      <alignment horizontal="center"/>
      <protection hidden="1"/>
    </xf>
    <xf numFmtId="0" fontId="0" fillId="18" borderId="5" xfId="0" applyFill="1" applyBorder="1" applyAlignment="1" applyProtection="1">
      <alignment horizontal="center"/>
      <protection hidden="1"/>
    </xf>
    <xf numFmtId="0" fontId="0" fillId="18" borderId="20" xfId="0" applyFill="1" applyBorder="1" applyAlignment="1" applyProtection="1">
      <alignment horizontal="center"/>
      <protection hidden="1"/>
    </xf>
    <xf numFmtId="0" fontId="0" fillId="13" borderId="0" xfId="0" applyFill="1" applyAlignment="1" applyProtection="1">
      <alignment horizontal="center"/>
      <protection hidden="1"/>
    </xf>
    <xf numFmtId="0" fontId="0" fillId="13" borderId="22" xfId="0" applyFill="1" applyBorder="1" applyAlignment="1" applyProtection="1">
      <alignment horizontal="center"/>
      <protection hidden="1"/>
    </xf>
    <xf numFmtId="0" fontId="0" fillId="10" borderId="5" xfId="0" applyFill="1" applyBorder="1" applyAlignment="1" applyProtection="1">
      <alignment horizontal="center"/>
      <protection hidden="1"/>
    </xf>
    <xf numFmtId="0" fontId="0" fillId="10" borderId="20" xfId="0" applyFill="1" applyBorder="1" applyAlignment="1" applyProtection="1">
      <alignment horizontal="center"/>
      <protection hidden="1"/>
    </xf>
    <xf numFmtId="0" fontId="0" fillId="11" borderId="0" xfId="0" applyFill="1" applyAlignment="1" applyProtection="1">
      <alignment horizontal="center"/>
      <protection hidden="1"/>
    </xf>
    <xf numFmtId="0" fontId="0" fillId="11" borderId="22" xfId="0" applyFill="1" applyBorder="1" applyAlignment="1" applyProtection="1">
      <alignment horizontal="center"/>
      <protection hidden="1"/>
    </xf>
    <xf numFmtId="0" fontId="1" fillId="11" borderId="24" xfId="0" applyFont="1" applyFill="1" applyBorder="1" applyAlignment="1" applyProtection="1">
      <alignment horizontal="center"/>
      <protection hidden="1"/>
    </xf>
    <xf numFmtId="0" fontId="1" fillId="11" borderId="25" xfId="0" applyFont="1" applyFill="1" applyBorder="1" applyAlignment="1" applyProtection="1">
      <alignment horizontal="center"/>
      <protection hidden="1"/>
    </xf>
    <xf numFmtId="0" fontId="1" fillId="11" borderId="23" xfId="0" applyFont="1" applyFill="1" applyBorder="1" applyAlignment="1" applyProtection="1">
      <alignment horizontal="center"/>
      <protection hidden="1"/>
    </xf>
    <xf numFmtId="0" fontId="1" fillId="10" borderId="21" xfId="0" applyFont="1" applyFill="1" applyBorder="1" applyAlignment="1" applyProtection="1">
      <alignment horizontal="center"/>
      <protection hidden="1"/>
    </xf>
    <xf numFmtId="0" fontId="1" fillId="10" borderId="0" xfId="0" applyFont="1" applyFill="1" applyAlignment="1" applyProtection="1">
      <alignment horizontal="center"/>
      <protection hidden="1"/>
    </xf>
    <xf numFmtId="0" fontId="1" fillId="10" borderId="22" xfId="0" applyFont="1" applyFill="1" applyBorder="1" applyAlignment="1" applyProtection="1">
      <alignment horizontal="center"/>
      <protection hidden="1"/>
    </xf>
    <xf numFmtId="0" fontId="0" fillId="23" borderId="19" xfId="0" applyFill="1" applyBorder="1" applyAlignment="1" applyProtection="1">
      <alignment horizontal="center"/>
      <protection hidden="1"/>
    </xf>
    <xf numFmtId="0" fontId="0" fillId="23" borderId="5" xfId="0" applyFill="1" applyBorder="1" applyAlignment="1" applyProtection="1">
      <alignment horizontal="center"/>
      <protection hidden="1"/>
    </xf>
    <xf numFmtId="0" fontId="0" fillId="23" borderId="20" xfId="0" applyFill="1" applyBorder="1" applyAlignment="1" applyProtection="1">
      <alignment horizontal="center"/>
      <protection hidden="1"/>
    </xf>
    <xf numFmtId="0" fontId="10" fillId="19" borderId="2" xfId="0" applyFont="1" applyFill="1" applyBorder="1" applyAlignment="1" applyProtection="1">
      <alignment horizontal="center"/>
      <protection hidden="1"/>
    </xf>
    <xf numFmtId="0" fontId="10" fillId="19" borderId="3" xfId="0" applyFont="1" applyFill="1" applyBorder="1" applyAlignment="1" applyProtection="1">
      <alignment horizontal="center"/>
      <protection hidden="1"/>
    </xf>
    <xf numFmtId="0" fontId="10" fillId="19" borderId="4" xfId="0" applyFont="1" applyFill="1" applyBorder="1" applyAlignment="1" applyProtection="1">
      <alignment horizontal="center"/>
      <protection hidden="1"/>
    </xf>
    <xf numFmtId="0" fontId="1" fillId="10" borderId="5" xfId="0" applyFont="1" applyFill="1" applyBorder="1" applyAlignment="1" applyProtection="1">
      <alignment horizontal="center"/>
      <protection hidden="1"/>
    </xf>
    <xf numFmtId="0" fontId="1" fillId="10" borderId="20" xfId="0" applyFont="1" applyFill="1" applyBorder="1" applyAlignment="1" applyProtection="1">
      <alignment horizontal="center"/>
      <protection hidden="1"/>
    </xf>
    <xf numFmtId="0" fontId="1" fillId="11" borderId="0" xfId="0" applyFont="1" applyFill="1" applyAlignment="1" applyProtection="1">
      <alignment horizontal="center"/>
      <protection hidden="1"/>
    </xf>
    <xf numFmtId="0" fontId="1" fillId="11" borderId="22"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0" fillId="4" borderId="22" xfId="0" applyFill="1" applyBorder="1" applyAlignment="1" applyProtection="1">
      <alignment horizontal="center"/>
      <protection hidden="1"/>
    </xf>
    <xf numFmtId="0" fontId="0" fillId="2" borderId="24" xfId="0" applyFill="1" applyBorder="1" applyAlignment="1" applyProtection="1">
      <alignment horizontal="center"/>
      <protection locked="0" hidden="1"/>
    </xf>
    <xf numFmtId="2" fontId="1" fillId="11" borderId="23" xfId="0" applyNumberFormat="1" applyFont="1" applyFill="1" applyBorder="1" applyAlignment="1" applyProtection="1">
      <alignment horizontal="center"/>
      <protection hidden="1"/>
    </xf>
    <xf numFmtId="2" fontId="1" fillId="11" borderId="25" xfId="0" applyNumberFormat="1" applyFont="1" applyFill="1" applyBorder="1" applyAlignment="1" applyProtection="1">
      <alignment horizontal="center"/>
      <protection hidden="1"/>
    </xf>
    <xf numFmtId="166" fontId="1" fillId="11" borderId="23" xfId="0" applyNumberFormat="1" applyFont="1" applyFill="1" applyBorder="1" applyAlignment="1" applyProtection="1">
      <alignment horizontal="center"/>
      <protection hidden="1"/>
    </xf>
    <xf numFmtId="166" fontId="1" fillId="11" borderId="25" xfId="0" applyNumberFormat="1" applyFont="1" applyFill="1" applyBorder="1" applyAlignment="1" applyProtection="1">
      <alignment horizontal="center"/>
      <protection hidden="1"/>
    </xf>
    <xf numFmtId="176" fontId="0" fillId="11" borderId="24" xfId="1" applyNumberFormat="1" applyFont="1" applyFill="1" applyBorder="1" applyAlignment="1" applyProtection="1">
      <alignment horizontal="center"/>
      <protection hidden="1"/>
    </xf>
    <xf numFmtId="176" fontId="0" fillId="11" borderId="25" xfId="1" applyNumberFormat="1" applyFont="1" applyFill="1" applyBorder="1" applyAlignment="1" applyProtection="1">
      <alignment horizontal="center"/>
      <protection hidden="1"/>
    </xf>
    <xf numFmtId="166" fontId="0" fillId="11" borderId="24" xfId="2" applyNumberFormat="1" applyFont="1" applyFill="1" applyBorder="1" applyAlignment="1" applyProtection="1">
      <alignment horizontal="center"/>
      <protection hidden="1"/>
    </xf>
    <xf numFmtId="166" fontId="0" fillId="11" borderId="25" xfId="2" applyNumberFormat="1" applyFont="1" applyFill="1" applyBorder="1" applyAlignment="1" applyProtection="1">
      <alignment horizontal="center"/>
      <protection hidden="1"/>
    </xf>
    <xf numFmtId="2" fontId="1" fillId="11" borderId="2" xfId="0" applyNumberFormat="1" applyFont="1" applyFill="1" applyBorder="1" applyAlignment="1" applyProtection="1">
      <alignment horizontal="center"/>
      <protection hidden="1"/>
    </xf>
    <xf numFmtId="2" fontId="1" fillId="11" borderId="4" xfId="0" applyNumberFormat="1" applyFont="1" applyFill="1" applyBorder="1" applyAlignment="1" applyProtection="1">
      <alignment horizontal="center"/>
      <protection hidden="1"/>
    </xf>
    <xf numFmtId="176" fontId="0" fillId="11" borderId="3" xfId="1" applyNumberFormat="1" applyFont="1" applyFill="1" applyBorder="1" applyAlignment="1" applyProtection="1">
      <alignment horizontal="center"/>
      <protection hidden="1"/>
    </xf>
    <xf numFmtId="176" fontId="0" fillId="11" borderId="4" xfId="1" applyNumberFormat="1" applyFont="1" applyFill="1" applyBorder="1" applyAlignment="1" applyProtection="1">
      <alignment horizontal="center"/>
      <protection hidden="1"/>
    </xf>
    <xf numFmtId="0" fontId="12" fillId="0" borderId="2" xfId="0" applyFont="1" applyBorder="1" applyAlignment="1" applyProtection="1">
      <alignment horizontal="center"/>
      <protection locked="0"/>
    </xf>
    <xf numFmtId="0" fontId="12" fillId="0" borderId="3" xfId="0" applyFont="1" applyBorder="1" applyAlignment="1" applyProtection="1">
      <alignment horizontal="center"/>
      <protection locked="0"/>
    </xf>
    <xf numFmtId="0" fontId="12" fillId="0" borderId="4" xfId="0" applyFont="1" applyBorder="1" applyAlignment="1" applyProtection="1">
      <alignment horizontal="center"/>
      <protection locked="0"/>
    </xf>
    <xf numFmtId="0" fontId="12" fillId="0" borderId="26" xfId="0" applyFont="1" applyBorder="1" applyAlignment="1" applyProtection="1">
      <alignment horizontal="center"/>
      <protection locked="0"/>
    </xf>
    <xf numFmtId="0" fontId="12" fillId="0" borderId="27" xfId="0" applyFont="1" applyBorder="1" applyAlignment="1" applyProtection="1">
      <alignment horizontal="center"/>
      <protection locked="0"/>
    </xf>
    <xf numFmtId="0" fontId="12" fillId="0" borderId="28" xfId="0" applyFont="1" applyBorder="1" applyAlignment="1" applyProtection="1">
      <alignment horizontal="center"/>
      <protection locked="0"/>
    </xf>
    <xf numFmtId="0" fontId="0" fillId="0" borderId="9" xfId="0" applyBorder="1" applyAlignment="1" applyProtection="1">
      <alignment horizontal="center"/>
      <protection locked="0"/>
    </xf>
    <xf numFmtId="0" fontId="0" fillId="0" borderId="9" xfId="0" applyBorder="1" applyAlignment="1" applyProtection="1">
      <alignment horizontal="left"/>
      <protection locked="0"/>
    </xf>
    <xf numFmtId="0" fontId="10" fillId="12" borderId="19" xfId="0" applyFont="1" applyFill="1" applyBorder="1" applyAlignment="1" applyProtection="1">
      <alignment horizontal="center"/>
      <protection locked="0"/>
    </xf>
    <xf numFmtId="0" fontId="10" fillId="12" borderId="5" xfId="0" applyFont="1" applyFill="1" applyBorder="1" applyAlignment="1" applyProtection="1">
      <alignment horizontal="center"/>
      <protection locked="0"/>
    </xf>
    <xf numFmtId="0" fontId="10" fillId="12" borderId="20" xfId="0" applyFont="1" applyFill="1" applyBorder="1" applyAlignment="1" applyProtection="1">
      <alignment horizontal="center"/>
      <protection locked="0"/>
    </xf>
    <xf numFmtId="0" fontId="7" fillId="5" borderId="19" xfId="0" applyFont="1" applyFill="1" applyBorder="1" applyAlignment="1" applyProtection="1">
      <alignment horizontal="center"/>
      <protection locked="0"/>
    </xf>
    <xf numFmtId="0" fontId="7" fillId="5" borderId="5" xfId="0" applyFont="1" applyFill="1" applyBorder="1" applyAlignment="1" applyProtection="1">
      <alignment horizontal="center"/>
      <protection locked="0"/>
    </xf>
    <xf numFmtId="0" fontId="7" fillId="5" borderId="20" xfId="0" applyFont="1" applyFill="1" applyBorder="1" applyAlignment="1" applyProtection="1">
      <alignment horizontal="center"/>
      <protection locked="0"/>
    </xf>
    <xf numFmtId="0" fontId="0" fillId="2" borderId="2"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4" xfId="0" applyFill="1" applyBorder="1" applyAlignment="1" applyProtection="1">
      <alignment horizontal="center"/>
      <protection locked="0"/>
    </xf>
    <xf numFmtId="0" fontId="12" fillId="0" borderId="9" xfId="0" applyFont="1" applyBorder="1" applyAlignment="1" applyProtection="1">
      <alignment horizontal="center"/>
      <protection locked="0"/>
    </xf>
    <xf numFmtId="0" fontId="0" fillId="0" borderId="19" xfId="0" applyBorder="1" applyAlignment="1" applyProtection="1">
      <alignment horizontal="center"/>
      <protection locked="0"/>
    </xf>
    <xf numFmtId="0" fontId="0" fillId="0" borderId="5" xfId="0" applyBorder="1" applyAlignment="1" applyProtection="1">
      <alignment horizontal="center"/>
      <protection locked="0"/>
    </xf>
    <xf numFmtId="0" fontId="0" fillId="0" borderId="20" xfId="0" applyBorder="1" applyAlignment="1" applyProtection="1">
      <alignment horizontal="center"/>
      <protection locked="0"/>
    </xf>
    <xf numFmtId="0" fontId="1" fillId="0" borderId="9" xfId="0" applyFont="1" applyBorder="1" applyAlignment="1" applyProtection="1">
      <alignment horizontal="left"/>
      <protection locked="0"/>
    </xf>
    <xf numFmtId="0" fontId="6" fillId="0" borderId="9" xfId="0" applyFont="1" applyBorder="1" applyAlignment="1" applyProtection="1">
      <alignment horizontal="center"/>
      <protection locked="0"/>
    </xf>
    <xf numFmtId="0" fontId="0" fillId="0" borderId="23" xfId="0" applyBorder="1" applyAlignment="1" applyProtection="1">
      <alignment horizontal="center"/>
      <protection locked="0"/>
    </xf>
    <xf numFmtId="0" fontId="0" fillId="0" borderId="24" xfId="0" applyBorder="1" applyAlignment="1" applyProtection="1">
      <alignment horizontal="center"/>
      <protection locked="0"/>
    </xf>
    <xf numFmtId="0" fontId="0" fillId="0" borderId="25" xfId="0" applyBorder="1" applyAlignment="1" applyProtection="1">
      <alignment horizontal="center"/>
      <protection locked="0"/>
    </xf>
    <xf numFmtId="0" fontId="6" fillId="0" borderId="19" xfId="0" applyFont="1" applyBorder="1" applyAlignment="1" applyProtection="1">
      <alignment horizontal="center"/>
      <protection locked="0"/>
    </xf>
    <xf numFmtId="0" fontId="6" fillId="0" borderId="5" xfId="0" applyFont="1" applyBorder="1" applyAlignment="1" applyProtection="1">
      <alignment horizontal="center"/>
      <protection locked="0"/>
    </xf>
    <xf numFmtId="0" fontId="6" fillId="0" borderId="20" xfId="0" applyFont="1" applyBorder="1" applyAlignment="1" applyProtection="1">
      <alignment horizontal="center"/>
      <protection locked="0"/>
    </xf>
    <xf numFmtId="0" fontId="10" fillId="12" borderId="23" xfId="0" applyFont="1" applyFill="1" applyBorder="1" applyAlignment="1">
      <alignment horizontal="center"/>
    </xf>
    <xf numFmtId="0" fontId="10" fillId="12" borderId="24" xfId="0" applyFont="1" applyFill="1" applyBorder="1" applyAlignment="1">
      <alignment horizontal="center"/>
    </xf>
  </cellXfs>
  <cellStyles count="20">
    <cellStyle name="Cell" xfId="9" xr:uid="{2CABCE5B-143E-4138-804D-08F75006F4F7}"/>
    <cellStyle name="Col Title" xfId="8" xr:uid="{DE43D12A-A94F-4F1F-875D-57BF582FCB22}"/>
    <cellStyle name="Comma" xfId="1" builtinId="3"/>
    <cellStyle name="Comma 2" xfId="5" xr:uid="{689C254A-7C13-4771-BE86-ED73EBDCAF65}"/>
    <cellStyle name="Currency" xfId="2" builtinId="4"/>
    <cellStyle name="Currency 2" xfId="6" xr:uid="{0061C913-AA17-427D-A06A-DE3354586222}"/>
    <cellStyle name="Currency 3" xfId="13" xr:uid="{E02ED4AD-6B2B-4042-B58A-D6405C898A45}"/>
    <cellStyle name="Explanatory Text 2" xfId="17" xr:uid="{41A063F8-C459-45D0-9C3C-1C188738D1CB}"/>
    <cellStyle name="Heading 1 2" xfId="18" xr:uid="{4000CCAF-DA8A-476A-BEBD-A6EBF7529F9A}"/>
    <cellStyle name="Hyperlink 2" xfId="4" xr:uid="{0B66CC00-4F5E-4658-A9C2-A831CF8763F4}"/>
    <cellStyle name="Hyperlink 3" xfId="14" xr:uid="{D1D289DF-3D48-4C90-8A18-067FEC50C8B0}"/>
    <cellStyle name="Normal" xfId="0" builtinId="0"/>
    <cellStyle name="Normal 2" xfId="10" xr:uid="{14D0954C-BCA5-4E6A-890A-5F65166E79E0}"/>
    <cellStyle name="Normal 2 2" xfId="15" xr:uid="{F5853DFC-329B-4997-998F-CC7C95977761}"/>
    <cellStyle name="Normal 3" xfId="11" xr:uid="{4F7BE124-9596-4539-BED2-53B3EE7834CB}"/>
    <cellStyle name="Normal 4" xfId="16" xr:uid="{1763730C-D7D0-4795-A3C3-632F0526E787}"/>
    <cellStyle name="Percent" xfId="3" builtinId="5"/>
    <cellStyle name="Percent 2" xfId="12" xr:uid="{BD722888-AEEC-4B04-8672-476623E010DA}"/>
    <cellStyle name="Percent 2 2" xfId="19" xr:uid="{17AB1185-3553-4C45-B1B0-82C5B7E929B8}"/>
    <cellStyle name="Title" xfId="7" builtinId="15"/>
  </cellStyles>
  <dxfs count="29">
    <dxf>
      <protection locked="1" hidden="1"/>
    </dxf>
    <dxf>
      <fill>
        <patternFill patternType="solid">
          <fgColor indexed="64"/>
          <bgColor rgb="FFFFFF00"/>
        </patternFill>
      </fill>
      <protection locked="0" hidden="1"/>
    </dxf>
    <dxf>
      <protection locked="1" hidden="1"/>
    </dxf>
    <dxf>
      <protection locked="1" hidden="1"/>
    </dxf>
    <dxf>
      <numFmt numFmtId="0" formatCode="General"/>
      <protection locked="1" hidden="1"/>
    </dxf>
    <dxf>
      <font>
        <b val="0"/>
        <i val="0"/>
        <strike val="0"/>
        <condense val="0"/>
        <extend val="0"/>
        <outline val="0"/>
        <shadow val="0"/>
        <u val="none"/>
        <vertAlign val="baseline"/>
        <sz val="11"/>
        <color theme="1"/>
        <name val="Aptos Narrow"/>
        <family val="2"/>
        <scheme val="minor"/>
      </font>
      <fill>
        <patternFill patternType="solid">
          <fgColor indexed="64"/>
          <bgColor rgb="FFFFFF00"/>
        </patternFill>
      </fill>
      <protection locked="0" hidden="1"/>
    </dxf>
    <dxf>
      <protection locked="1" hidden="1"/>
    </dxf>
    <dxf>
      <protection locked="1" hidden="1"/>
    </dxf>
    <dxf>
      <protection locked="1" hidden="1"/>
    </dxf>
    <dxf>
      <protection locked="1" hidden="1"/>
    </dxf>
    <dxf>
      <fill>
        <patternFill patternType="solid">
          <fgColor indexed="64"/>
          <bgColor rgb="FFFFFF00"/>
        </patternFill>
      </fill>
      <protection locked="0" hidden="1"/>
    </dxf>
    <dxf>
      <protection locked="1" hidden="1"/>
    </dxf>
    <dxf>
      <protection locked="1" hidden="1"/>
    </dxf>
    <dxf>
      <numFmt numFmtId="0" formatCode="General"/>
      <protection locked="1" hidden="1"/>
    </dxf>
    <dxf>
      <font>
        <b val="0"/>
        <i val="0"/>
        <strike val="0"/>
        <condense val="0"/>
        <extend val="0"/>
        <outline val="0"/>
        <shadow val="0"/>
        <u val="none"/>
        <vertAlign val="baseline"/>
        <sz val="11"/>
        <color theme="1"/>
        <name val="Aptos Narrow"/>
        <family val="2"/>
        <scheme val="minor"/>
      </font>
      <fill>
        <patternFill patternType="solid">
          <fgColor indexed="64"/>
          <bgColor rgb="FFFFFF00"/>
        </patternFill>
      </fill>
      <protection locked="0" hidden="1"/>
    </dxf>
    <dxf>
      <protection locked="1" hidden="1"/>
    </dxf>
    <dxf>
      <protection locked="1" hidden="1"/>
    </dxf>
    <dxf>
      <protection locked="1" hidden="1"/>
    </dxf>
    <dxf>
      <protection locked="1" hidden="1"/>
    </dxf>
    <dxf>
      <fill>
        <patternFill patternType="solid">
          <fgColor indexed="64"/>
          <bgColor rgb="FFFFFF00"/>
        </patternFill>
      </fill>
      <protection locked="0" hidden="1"/>
    </dxf>
    <dxf>
      <protection locked="1" hidden="1"/>
    </dxf>
    <dxf>
      <protection locked="1" hidden="1"/>
    </dxf>
    <dxf>
      <numFmt numFmtId="0" formatCode="General"/>
      <protection locked="1" hidden="1"/>
    </dxf>
    <dxf>
      <font>
        <b val="0"/>
        <i val="0"/>
        <strike val="0"/>
        <condense val="0"/>
        <extend val="0"/>
        <outline val="0"/>
        <shadow val="0"/>
        <u val="none"/>
        <vertAlign val="baseline"/>
        <sz val="11"/>
        <color theme="1"/>
        <name val="Aptos Narrow"/>
        <family val="2"/>
        <scheme val="minor"/>
      </font>
      <fill>
        <patternFill patternType="solid">
          <fgColor indexed="64"/>
          <bgColor rgb="FFFFFF00"/>
        </patternFill>
      </fill>
      <protection locked="0" hidden="1"/>
    </dxf>
    <dxf>
      <protection locked="1" hidden="1"/>
    </dxf>
    <dxf>
      <protection locked="1" hidden="1"/>
    </dxf>
    <dxf>
      <protection locked="1" hidden="1"/>
    </dxf>
    <dxf>
      <font>
        <color rgb="FFCF2D06"/>
      </font>
      <fill>
        <patternFill>
          <bgColor rgb="FFFFC7CE"/>
        </patternFill>
      </fill>
    </dxf>
    <dxf>
      <font>
        <color rgb="FFCF2D06"/>
      </font>
      <fill>
        <patternFill>
          <bgColor rgb="FFFFC7CE"/>
        </patternFill>
      </fill>
    </dxf>
  </dxfs>
  <tableStyles count="0" defaultTableStyle="TableStyleMedium2" defaultPivotStyle="PivotStyleLight16"/>
  <colors>
    <mruColors>
      <color rgb="FF008BF2"/>
      <color rgb="FF00BCF2"/>
      <color rgb="FF0072C6"/>
      <color rgb="FFC0E6F5"/>
      <color rgb="FFCF2D06"/>
      <color rgb="FFFFC7CE"/>
      <color rgb="FFFFCCCC"/>
      <color rgb="FFFF6600"/>
      <color rgb="FFF9F9F9"/>
      <color rgb="FFA6C9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2"/>
          <c:order val="0"/>
          <c:tx>
            <c:strRef>
              <c:f>'Fabric Working Model-Avg'!$K$383</c:f>
              <c:strCache>
                <c:ptCount val="1"/>
                <c:pt idx="0">
                  <c:v>LowerCap</c:v>
                </c:pt>
              </c:strCache>
            </c:strRef>
          </c:tx>
          <c:spPr>
            <a:solidFill>
              <a:schemeClr val="accent3"/>
            </a:solidFill>
            <a:ln>
              <a:noFill/>
            </a:ln>
            <a:effectLst/>
            <a:sp3d/>
          </c:spPr>
          <c:invertIfNegative val="0"/>
          <c:cat>
            <c:multiLvlStrRef>
              <c:f>'Fabric Working Model-Avg'!$G$384:$G$391</c:f>
            </c:multiLvlStrRef>
          </c:cat>
          <c:val>
            <c:numRef>
              <c:f>'Fabric Working Model-Avg'!$K$384:$K$391</c:f>
            </c:numRef>
          </c:val>
          <c:extLst>
            <c:ext xmlns:c16="http://schemas.microsoft.com/office/drawing/2014/chart" uri="{C3380CC4-5D6E-409C-BE32-E72D297353CC}">
              <c16:uniqueId val="{00000002-DB46-481F-8159-5F6C008EA86B}"/>
            </c:ext>
          </c:extLst>
        </c:ser>
        <c:ser>
          <c:idx val="5"/>
          <c:order val="1"/>
          <c:tx>
            <c:strRef>
              <c:f>'Fabric Working Model-Avg'!$N$383</c:f>
              <c:strCache>
                <c:ptCount val="1"/>
                <c:pt idx="0">
                  <c:v>MiddleLine2</c:v>
                </c:pt>
              </c:strCache>
            </c:strRef>
          </c:tx>
          <c:spPr>
            <a:solidFill>
              <a:schemeClr val="accent6"/>
            </a:solidFill>
            <a:ln>
              <a:noFill/>
            </a:ln>
            <a:effectLst/>
            <a:sp3d/>
          </c:spPr>
          <c:invertIfNegative val="0"/>
          <c:cat>
            <c:multiLvlStrRef>
              <c:f>'Fabric Working Model-Avg'!$G$384:$G$391</c:f>
            </c:multiLvlStrRef>
          </c:cat>
          <c:val>
            <c:numRef>
              <c:f>'Fabric Working Model-Avg'!$N$384:$N$391</c:f>
            </c:numRef>
          </c:val>
          <c:extLst>
            <c:ext xmlns:c16="http://schemas.microsoft.com/office/drawing/2014/chart" uri="{C3380CC4-5D6E-409C-BE32-E72D297353CC}">
              <c16:uniqueId val="{00000005-DB46-481F-8159-5F6C008EA86B}"/>
            </c:ext>
          </c:extLst>
        </c:ser>
        <c:ser>
          <c:idx val="4"/>
          <c:order val="2"/>
          <c:tx>
            <c:strRef>
              <c:f>'Fabric Working Model-Avg'!$M$383</c:f>
              <c:strCache>
                <c:ptCount val="1"/>
                <c:pt idx="0">
                  <c:v>MiddleLine1</c:v>
                </c:pt>
              </c:strCache>
            </c:strRef>
          </c:tx>
          <c:spPr>
            <a:solidFill>
              <a:schemeClr val="accent5"/>
            </a:solidFill>
            <a:ln>
              <a:noFill/>
            </a:ln>
            <a:effectLst/>
            <a:sp3d/>
          </c:spPr>
          <c:invertIfNegative val="0"/>
          <c:cat>
            <c:multiLvlStrRef>
              <c:f>'Fabric Working Model-Avg'!$G$384:$G$391</c:f>
            </c:multiLvlStrRef>
          </c:cat>
          <c:val>
            <c:numRef>
              <c:f>'Fabric Working Model-Avg'!$M$384:$M$391</c:f>
            </c:numRef>
          </c:val>
          <c:extLst>
            <c:ext xmlns:c16="http://schemas.microsoft.com/office/drawing/2014/chart" uri="{C3380CC4-5D6E-409C-BE32-E72D297353CC}">
              <c16:uniqueId val="{00000004-DB46-481F-8159-5F6C008EA86B}"/>
            </c:ext>
          </c:extLst>
        </c:ser>
        <c:ser>
          <c:idx val="0"/>
          <c:order val="3"/>
          <c:tx>
            <c:strRef>
              <c:f>'Fabric Working Model-Avg'!$I$383</c:f>
              <c:strCache>
                <c:ptCount val="1"/>
                <c:pt idx="0">
                  <c:v>Efficiency</c:v>
                </c:pt>
              </c:strCache>
            </c:strRef>
          </c:tx>
          <c:spPr>
            <a:solidFill>
              <a:schemeClr val="accent1"/>
            </a:solidFill>
            <a:ln>
              <a:noFill/>
            </a:ln>
            <a:effectLst/>
            <a:sp3d/>
          </c:spPr>
          <c:invertIfNegative val="0"/>
          <c:cat>
            <c:multiLvlStrRef>
              <c:f>'Fabric Working Model-Avg'!$G$384:$G$391</c:f>
            </c:multiLvlStrRef>
          </c:cat>
          <c:val>
            <c:numRef>
              <c:f>'Fabric Working Model-Avg'!$I$384:$I$391</c:f>
            </c:numRef>
          </c:val>
          <c:extLst>
            <c:ext xmlns:c16="http://schemas.microsoft.com/office/drawing/2014/chart" uri="{C3380CC4-5D6E-409C-BE32-E72D297353CC}">
              <c16:uniqueId val="{00000000-DB46-481F-8159-5F6C008EA86B}"/>
            </c:ext>
          </c:extLst>
        </c:ser>
        <c:ser>
          <c:idx val="1"/>
          <c:order val="4"/>
          <c:tx>
            <c:strRef>
              <c:f>'Fabric Working Model-Avg'!$J$383</c:f>
              <c:strCache>
                <c:ptCount val="1"/>
                <c:pt idx="0">
                  <c:v>Blank</c:v>
                </c:pt>
              </c:strCache>
            </c:strRef>
          </c:tx>
          <c:spPr>
            <a:solidFill>
              <a:schemeClr val="accent2"/>
            </a:solidFill>
            <a:ln>
              <a:noFill/>
            </a:ln>
            <a:effectLst/>
            <a:sp3d/>
          </c:spPr>
          <c:invertIfNegative val="0"/>
          <c:cat>
            <c:multiLvlStrRef>
              <c:f>'Fabric Working Model-Avg'!$G$384:$G$391</c:f>
            </c:multiLvlStrRef>
          </c:cat>
          <c:val>
            <c:numRef>
              <c:f>'Fabric Working Model-Avg'!$J$384:$J$391</c:f>
            </c:numRef>
          </c:val>
          <c:extLst>
            <c:ext xmlns:c16="http://schemas.microsoft.com/office/drawing/2014/chart" uri="{C3380CC4-5D6E-409C-BE32-E72D297353CC}">
              <c16:uniqueId val="{00000001-DB46-481F-8159-5F6C008EA86B}"/>
            </c:ext>
          </c:extLst>
        </c:ser>
        <c:ser>
          <c:idx val="6"/>
          <c:order val="5"/>
          <c:tx>
            <c:strRef>
              <c:f>'Fabric Working Model-Avg'!$M$383</c:f>
              <c:strCache>
                <c:ptCount val="1"/>
                <c:pt idx="0">
                  <c:v>MiddleLine1</c:v>
                </c:pt>
              </c:strCache>
            </c:strRef>
          </c:tx>
          <c:spPr>
            <a:solidFill>
              <a:schemeClr val="accent1">
                <a:lumMod val="60000"/>
              </a:schemeClr>
            </a:solidFill>
            <a:ln>
              <a:noFill/>
            </a:ln>
            <a:effectLst/>
            <a:sp3d/>
          </c:spPr>
          <c:invertIfNegative val="0"/>
          <c:cat>
            <c:multiLvlStrRef>
              <c:f>'Fabric Working Model-Avg'!$G$384:$G$391</c:f>
            </c:multiLvlStrRef>
          </c:cat>
          <c:val>
            <c:numRef>
              <c:f>'Fabric Working Model-Avg'!$M$384:$M$391</c:f>
            </c:numRef>
          </c:val>
          <c:extLst>
            <c:ext xmlns:c16="http://schemas.microsoft.com/office/drawing/2014/chart" uri="{C3380CC4-5D6E-409C-BE32-E72D297353CC}">
              <c16:uniqueId val="{00000006-DB46-481F-8159-5F6C008EA86B}"/>
            </c:ext>
          </c:extLst>
        </c:ser>
        <c:ser>
          <c:idx val="7"/>
          <c:order val="6"/>
          <c:tx>
            <c:strRef>
              <c:f>'Fabric Working Model-Avg'!$N$383</c:f>
              <c:strCache>
                <c:ptCount val="1"/>
                <c:pt idx="0">
                  <c:v>MiddleLine2</c:v>
                </c:pt>
              </c:strCache>
            </c:strRef>
          </c:tx>
          <c:spPr>
            <a:solidFill>
              <a:schemeClr val="accent2">
                <a:lumMod val="60000"/>
              </a:schemeClr>
            </a:solidFill>
            <a:ln>
              <a:noFill/>
            </a:ln>
            <a:effectLst/>
            <a:sp3d/>
          </c:spPr>
          <c:invertIfNegative val="0"/>
          <c:cat>
            <c:multiLvlStrRef>
              <c:f>'Fabric Working Model-Avg'!$G$384:$G$391</c:f>
            </c:multiLvlStrRef>
          </c:cat>
          <c:val>
            <c:numRef>
              <c:f>'Fabric Working Model-Avg'!$N$384:$N$391</c:f>
            </c:numRef>
          </c:val>
          <c:extLst>
            <c:ext xmlns:c16="http://schemas.microsoft.com/office/drawing/2014/chart" uri="{C3380CC4-5D6E-409C-BE32-E72D297353CC}">
              <c16:uniqueId val="{00000007-DB46-481F-8159-5F6C008EA86B}"/>
            </c:ext>
          </c:extLst>
        </c:ser>
        <c:ser>
          <c:idx val="3"/>
          <c:order val="7"/>
          <c:tx>
            <c:strRef>
              <c:f>'Fabric Working Model-Avg'!$L$383</c:f>
              <c:strCache>
                <c:ptCount val="1"/>
                <c:pt idx="0">
                  <c:v>UpperCap</c:v>
                </c:pt>
              </c:strCache>
            </c:strRef>
          </c:tx>
          <c:spPr>
            <a:solidFill>
              <a:schemeClr val="accent4"/>
            </a:solidFill>
            <a:ln>
              <a:noFill/>
            </a:ln>
            <a:effectLst/>
            <a:sp3d/>
          </c:spPr>
          <c:invertIfNegative val="0"/>
          <c:cat>
            <c:multiLvlStrRef>
              <c:f>'Fabric Working Model-Avg'!$G$384:$G$391</c:f>
            </c:multiLvlStrRef>
          </c:cat>
          <c:val>
            <c:numRef>
              <c:f>'Fabric Working Model-Avg'!$L$384:$L$391</c:f>
            </c:numRef>
          </c:val>
          <c:extLst>
            <c:ext xmlns:c16="http://schemas.microsoft.com/office/drawing/2014/chart" uri="{C3380CC4-5D6E-409C-BE32-E72D297353CC}">
              <c16:uniqueId val="{00000003-DB46-481F-8159-5F6C008EA86B}"/>
            </c:ext>
          </c:extLst>
        </c:ser>
        <c:dLbls>
          <c:showLegendKey val="0"/>
          <c:showVal val="0"/>
          <c:showCatName val="0"/>
          <c:showSerName val="0"/>
          <c:showPercent val="0"/>
          <c:showBubbleSize val="0"/>
        </c:dLbls>
        <c:gapWidth val="40"/>
        <c:shape val="cylinder"/>
        <c:axId val="1712844176"/>
        <c:axId val="1291879200"/>
        <c:axId val="0"/>
      </c:bar3DChart>
      <c:catAx>
        <c:axId val="1712844176"/>
        <c:scaling>
          <c:orientation val="minMax"/>
        </c:scaling>
        <c:delete val="1"/>
        <c:axPos val="b"/>
        <c:numFmt formatCode="General" sourceLinked="1"/>
        <c:majorTickMark val="none"/>
        <c:minorTickMark val="none"/>
        <c:tickLblPos val="nextTo"/>
        <c:crossAx val="1291879200"/>
        <c:crosses val="autoZero"/>
        <c:auto val="1"/>
        <c:lblAlgn val="ctr"/>
        <c:lblOffset val="100"/>
        <c:noMultiLvlLbl val="0"/>
      </c:catAx>
      <c:valAx>
        <c:axId val="1291879200"/>
        <c:scaling>
          <c:orientation val="minMax"/>
        </c:scaling>
        <c:delete val="1"/>
        <c:axPos val="l"/>
        <c:numFmt formatCode="0%" sourceLinked="1"/>
        <c:majorTickMark val="none"/>
        <c:minorTickMark val="none"/>
        <c:tickLblPos val="nextTo"/>
        <c:crossAx val="1712844176"/>
        <c:crosses val="autoZero"/>
        <c:crossBetween val="between"/>
      </c:valAx>
      <c:spPr>
        <a:noFill/>
        <a:ln>
          <a:noFill/>
        </a:ln>
        <a:effectLst>
          <a:softEdge rad="10160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2">
            <a:lumMod val="75000"/>
          </a:schemeClr>
        </a:gs>
        <a:gs pos="46000">
          <a:schemeClr val="bg2">
            <a:lumMod val="50000"/>
          </a:schemeClr>
        </a:gs>
        <a:gs pos="100000">
          <a:schemeClr val="bg2">
            <a:lumMod val="25000"/>
          </a:schemeClr>
        </a:gs>
      </a:gsLst>
      <a:path path="circle">
        <a:fillToRect l="50000" t="130000" r="50000" b="-30000"/>
      </a:path>
      <a:tileRect/>
    </a:gra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FabricMapping!$F$63" lockText="1" noThreeD="1"/>
</file>

<file path=xl/ctrlProps/ctrlProp2.xml><?xml version="1.0" encoding="utf-8"?>
<formControlPr xmlns="http://schemas.microsoft.com/office/spreadsheetml/2009/9/main" objectType="CheckBox" checked="Checked" fmlaLink="FabricMapping!$F$79" lockText="1" noThreeD="1"/>
</file>

<file path=xl/ctrlProps/ctrlProp3.xml><?xml version="1.0" encoding="utf-8"?>
<formControlPr xmlns="http://schemas.microsoft.com/office/spreadsheetml/2009/9/main" objectType="Radio" checked="Checked" firstButton="1" fmlaLink="FabricMapping!$G$57"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checked="Checked" fmlaLink="FabricMapping!$F$73" lockText="1" noThreeD="1"/>
</file>

<file path=xl/ctrlProps/ctrlProp6.xml><?xml version="1.0" encoding="utf-8"?>
<formControlPr xmlns="http://schemas.microsoft.com/office/spreadsheetml/2009/9/main" objectType="CheckBox" fmlaLink="FabricMapping!$F$85" lockText="1" noThreeD="1"/>
</file>

<file path=xl/ctrlProps/ctrlProp7.xml><?xml version="1.0" encoding="utf-8"?>
<formControlPr xmlns="http://schemas.microsoft.com/office/spreadsheetml/2009/9/main" objectType="CheckBox" checked="Checked" fmlaLink="FabricMapping!$L$79" lockText="1" noThreeD="1"/>
</file>

<file path=xl/ctrlProps/ctrlProp8.xml><?xml version="1.0" encoding="utf-8"?>
<formControlPr xmlns="http://schemas.microsoft.com/office/spreadsheetml/2009/9/main" objectType="CheckBox" checked="Checked" fmlaLink="FabricMapping!$G$46"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UserInpu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ReadMe!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8.svg"/><Relationship Id="rId3" Type="http://schemas.openxmlformats.org/officeDocument/2006/relationships/image" Target="../media/image4.png"/><Relationship Id="rId7" Type="http://schemas.openxmlformats.org/officeDocument/2006/relationships/image" Target="../media/image7.png"/><Relationship Id="rId2" Type="http://schemas.openxmlformats.org/officeDocument/2006/relationships/hyperlink" Target="#ReadMe!A1"/><Relationship Id="rId1" Type="http://schemas.openxmlformats.org/officeDocument/2006/relationships/image" Target="../media/image1.png"/><Relationship Id="rId6" Type="http://schemas.openxmlformats.org/officeDocument/2006/relationships/image" Target="../media/image6.svg"/><Relationship Id="rId5" Type="http://schemas.openxmlformats.org/officeDocument/2006/relationships/image" Target="../media/image5.png"/><Relationship Id="rId10" Type="http://schemas.openxmlformats.org/officeDocument/2006/relationships/image" Target="../media/image10.svg"/><Relationship Id="rId4" Type="http://schemas.openxmlformats.org/officeDocument/2006/relationships/hyperlink" Target="#UserInputs!A1"/><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11206</xdr:colOff>
      <xdr:row>1</xdr:row>
      <xdr:rowOff>13607</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0" y="0"/>
          <a:ext cx="15456158" cy="1043621"/>
          <a:chOff x="-1" y="0"/>
          <a:chExt cx="21481981" cy="1044548"/>
        </a:xfrm>
      </xdr:grpSpPr>
      <xdr:grpSp>
        <xdr:nvGrpSpPr>
          <xdr:cNvPr id="3" name="Group 2">
            <a:extLst>
              <a:ext uri="{FF2B5EF4-FFF2-40B4-BE49-F238E27FC236}">
                <a16:creationId xmlns:a16="http://schemas.microsoft.com/office/drawing/2014/main" id="{00000000-0008-0000-0000-000003000000}"/>
              </a:ext>
            </a:extLst>
          </xdr:cNvPr>
          <xdr:cNvGrpSpPr/>
        </xdr:nvGrpSpPr>
        <xdr:grpSpPr>
          <a:xfrm>
            <a:off x="-1" y="0"/>
            <a:ext cx="21481981" cy="1044548"/>
            <a:chOff x="-1" y="1"/>
            <a:chExt cx="21193127" cy="1040130"/>
          </a:xfrm>
        </xdr:grpSpPr>
        <xdr:grpSp>
          <xdr:nvGrpSpPr>
            <xdr:cNvPr id="5" name="Group 4">
              <a:extLst>
                <a:ext uri="{FF2B5EF4-FFF2-40B4-BE49-F238E27FC236}">
                  <a16:creationId xmlns:a16="http://schemas.microsoft.com/office/drawing/2014/main" id="{00000000-0008-0000-0000-000005000000}"/>
                </a:ext>
              </a:extLst>
            </xdr:cNvPr>
            <xdr:cNvGrpSpPr/>
          </xdr:nvGrpSpPr>
          <xdr:grpSpPr>
            <a:xfrm>
              <a:off x="0" y="1"/>
              <a:ext cx="21193126" cy="1040130"/>
              <a:chOff x="-4738688" y="2952750"/>
              <a:chExt cx="21669376" cy="1056132"/>
            </a:xfrm>
          </xdr:grpSpPr>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1"/>
              <a:srcRect l="30446" t="61147" b="29885"/>
              <a:stretch/>
            </xdr:blipFill>
            <xdr:spPr>
              <a:xfrm>
                <a:off x="-4738688" y="2952750"/>
                <a:ext cx="21669376" cy="1047750"/>
              </a:xfrm>
              <a:custGeom>
                <a:avLst/>
                <a:gdLst>
                  <a:gd name="connsiteX0" fmla="*/ 0 w 21669376"/>
                  <a:gd name="connsiteY0" fmla="*/ 0 h 1047750"/>
                  <a:gd name="connsiteX1" fmla="*/ 21669376 w 21669376"/>
                  <a:gd name="connsiteY1" fmla="*/ 0 h 1047750"/>
                  <a:gd name="connsiteX2" fmla="*/ 21669376 w 21669376"/>
                  <a:gd name="connsiteY2" fmla="*/ 1047750 h 1047750"/>
                  <a:gd name="connsiteX3" fmla="*/ 0 w 21669376"/>
                  <a:gd name="connsiteY3" fmla="*/ 1047750 h 1047750"/>
                </a:gdLst>
                <a:ahLst/>
                <a:cxnLst>
                  <a:cxn ang="0">
                    <a:pos x="connsiteX0" y="connsiteY0"/>
                  </a:cxn>
                  <a:cxn ang="0">
                    <a:pos x="connsiteX1" y="connsiteY1"/>
                  </a:cxn>
                  <a:cxn ang="0">
                    <a:pos x="connsiteX2" y="connsiteY2"/>
                  </a:cxn>
                  <a:cxn ang="0">
                    <a:pos x="connsiteX3" y="connsiteY3"/>
                  </a:cxn>
                </a:cxnLst>
                <a:rect l="l" t="t" r="r" b="b"/>
                <a:pathLst>
                  <a:path w="21669376" h="1047750">
                    <a:moveTo>
                      <a:pt x="0" y="0"/>
                    </a:moveTo>
                    <a:lnTo>
                      <a:pt x="21669376" y="0"/>
                    </a:lnTo>
                    <a:lnTo>
                      <a:pt x="21669376" y="1047750"/>
                    </a:lnTo>
                    <a:lnTo>
                      <a:pt x="0" y="1047750"/>
                    </a:lnTo>
                    <a:close/>
                  </a:path>
                </a:pathLst>
              </a:custGeom>
            </xdr:spPr>
          </xdr:pic>
          <xdr:sp macro="" textlink="">
            <xdr:nvSpPr>
              <xdr:cNvPr id="12" name="Rectangle 11">
                <a:extLst>
                  <a:ext uri="{FF2B5EF4-FFF2-40B4-BE49-F238E27FC236}">
                    <a16:creationId xmlns:a16="http://schemas.microsoft.com/office/drawing/2014/main" id="{00000000-0008-0000-0000-00000C000000}"/>
                  </a:ext>
                </a:extLst>
              </xdr:cNvPr>
              <xdr:cNvSpPr/>
            </xdr:nvSpPr>
            <xdr:spPr>
              <a:xfrm>
                <a:off x="-4738688" y="2952750"/>
                <a:ext cx="21669376" cy="1056132"/>
              </a:xfrm>
              <a:prstGeom prst="rect">
                <a:avLst/>
              </a:prstGeom>
              <a:solidFill>
                <a:srgbClr val="003963">
                  <a:alpha val="89804"/>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sz="1100">
                  <a:solidFill>
                    <a:schemeClr val="tx1"/>
                  </a:solidFill>
                </a:endParaRPr>
              </a:p>
            </xdr:txBody>
          </xdr:sp>
        </xdr:grpSp>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3715571" y="196877"/>
              <a:ext cx="7786546" cy="638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IN" sz="3200">
                  <a:solidFill>
                    <a:schemeClr val="bg1"/>
                  </a:solidFill>
                  <a:effectLst/>
                  <a:latin typeface="Segoe UI Semibold" panose="020B0702040204020203" pitchFamily="34" charset="0"/>
                  <a:ea typeface="+mn-ea"/>
                  <a:cs typeface="Segoe UI Semibold" panose="020B0702040204020203" pitchFamily="34" charset="0"/>
                </a:rPr>
                <a:t>Fabric SKU Calculator</a:t>
              </a:r>
              <a:endParaRPr lang="en-IN" sz="3200">
                <a:solidFill>
                  <a:schemeClr val="bg1"/>
                </a:solidFill>
                <a:effectLst/>
                <a:latin typeface="Segoe UI Semibold" panose="020B0702040204020203" pitchFamily="34" charset="0"/>
                <a:cs typeface="Segoe UI Semibold" panose="020B0702040204020203" pitchFamily="34" charset="0"/>
              </a:endParaRPr>
            </a:p>
          </xdr:txBody>
        </xdr:sp>
        <xdr:sp macro="" textlink="">
          <xdr:nvSpPr>
            <xdr:cNvPr id="7" name="Rectangle: Top Corners Rounded 6">
              <a:extLst>
                <a:ext uri="{FF2B5EF4-FFF2-40B4-BE49-F238E27FC236}">
                  <a16:creationId xmlns:a16="http://schemas.microsoft.com/office/drawing/2014/main" id="{00000000-0008-0000-0000-000007000000}"/>
                </a:ext>
              </a:extLst>
            </xdr:cNvPr>
            <xdr:cNvSpPr/>
          </xdr:nvSpPr>
          <xdr:spPr>
            <a:xfrm rot="5400000">
              <a:off x="1287085" y="-1119561"/>
              <a:ext cx="696829" cy="3271001"/>
            </a:xfrm>
            <a:prstGeom prst="round2SameRect">
              <a:avLst>
                <a:gd name="adj1" fmla="val 50000"/>
                <a:gd name="adj2" fmla="val 0"/>
              </a:avLst>
            </a:prstGeom>
            <a:solidFill>
              <a:schemeClr val="bg1"/>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IN" sz="1100" dirty="0" err="1">
                <a:solidFill>
                  <a:schemeClr val="tx1"/>
                </a:solidFill>
              </a:endParaRPr>
            </a:p>
          </xdr:txBody>
        </xdr:sp>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18347603" y="269876"/>
              <a:ext cx="2398287" cy="492125"/>
            </a:xfrm>
            <a:prstGeom prst="roundRect">
              <a:avLst>
                <a:gd name="adj" fmla="val 50000"/>
              </a:avLst>
            </a:prstGeom>
            <a:solidFill>
              <a:srgbClr val="00BCF2">
                <a:alpha val="14902"/>
              </a:srgbClr>
            </a:solidFill>
            <a:ln w="9525">
              <a:solidFill>
                <a:schemeClr val="accent1">
                  <a:lumMod val="60000"/>
                  <a:lumOff val="40000"/>
                  <a:alpha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IN" sz="1800">
                  <a:solidFill>
                    <a:schemeClr val="lt1"/>
                  </a:solidFill>
                  <a:effectLst/>
                  <a:latin typeface="Segoe UI Semibold" panose="020B0702040204020203" pitchFamily="34" charset="0"/>
                  <a:ea typeface="+mn-ea"/>
                  <a:cs typeface="Segoe UI Semibold" panose="020B0702040204020203" pitchFamily="34" charset="0"/>
                </a:rPr>
                <a:t>User Inputs</a:t>
              </a:r>
              <a:endParaRPr lang="en-IN" sz="1800">
                <a:effectLst/>
                <a:latin typeface="Segoe UI Semibold" panose="020B0702040204020203" pitchFamily="34" charset="0"/>
                <a:cs typeface="Segoe UI Semibold" panose="020B0702040204020203" pitchFamily="34" charset="0"/>
              </a:endParaRPr>
            </a:p>
          </xdr:txBody>
        </xdr:sp>
      </xdr:grpSp>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561709" y="351868"/>
            <a:ext cx="2192164" cy="332525"/>
          </a:xfrm>
          <a:prstGeom prst="rect">
            <a:avLst/>
          </a:prstGeom>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3</xdr:col>
          <xdr:colOff>1112520</xdr:colOff>
          <xdr:row>18</xdr:row>
          <xdr:rowOff>7620</xdr:rowOff>
        </xdr:from>
        <xdr:to>
          <xdr:col>3</xdr:col>
          <xdr:colOff>1623060</xdr:colOff>
          <xdr:row>18</xdr:row>
          <xdr:rowOff>213360</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01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1143000</xdr:colOff>
          <xdr:row>25</xdr:row>
          <xdr:rowOff>190500</xdr:rowOff>
        </xdr:from>
        <xdr:to>
          <xdr:col>3</xdr:col>
          <xdr:colOff>1676400</xdr:colOff>
          <xdr:row>27</xdr:row>
          <xdr:rowOff>7620</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01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absolute">
    <xdr:from>
      <xdr:col>0</xdr:col>
      <xdr:colOff>0</xdr:colOff>
      <xdr:row>0</xdr:row>
      <xdr:rowOff>1</xdr:rowOff>
    </xdr:from>
    <xdr:to>
      <xdr:col>23</xdr:col>
      <xdr:colOff>783083</xdr:colOff>
      <xdr:row>1</xdr:row>
      <xdr:rowOff>1</xdr:rowOff>
    </xdr:to>
    <xdr:grpSp>
      <xdr:nvGrpSpPr>
        <xdr:cNvPr id="16" name="Group 15">
          <a:extLst>
            <a:ext uri="{FF2B5EF4-FFF2-40B4-BE49-F238E27FC236}">
              <a16:creationId xmlns:a16="http://schemas.microsoft.com/office/drawing/2014/main" id="{00000000-0008-0000-0100-000010000000}"/>
            </a:ext>
          </a:extLst>
        </xdr:cNvPr>
        <xdr:cNvGrpSpPr/>
      </xdr:nvGrpSpPr>
      <xdr:grpSpPr>
        <a:xfrm>
          <a:off x="0" y="1"/>
          <a:ext cx="19116803" cy="1028700"/>
          <a:chOff x="0" y="1"/>
          <a:chExt cx="21193126" cy="1031875"/>
        </a:xfrm>
      </xdr:grpSpPr>
      <xdr:grpSp>
        <xdr:nvGrpSpPr>
          <xdr:cNvPr id="17" name="Group 16">
            <a:extLst>
              <a:ext uri="{FF2B5EF4-FFF2-40B4-BE49-F238E27FC236}">
                <a16:creationId xmlns:a16="http://schemas.microsoft.com/office/drawing/2014/main" id="{00000000-0008-0000-0100-000011000000}"/>
              </a:ext>
            </a:extLst>
          </xdr:cNvPr>
          <xdr:cNvGrpSpPr/>
        </xdr:nvGrpSpPr>
        <xdr:grpSpPr>
          <a:xfrm>
            <a:off x="0" y="1"/>
            <a:ext cx="21193126" cy="1031875"/>
            <a:chOff x="-4738688" y="2952750"/>
            <a:chExt cx="21669376" cy="1047750"/>
          </a:xfrm>
        </xdr:grpSpPr>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rotWithShape="1">
            <a:blip xmlns:r="http://schemas.openxmlformats.org/officeDocument/2006/relationships" r:embed="rId1"/>
            <a:srcRect l="30446" t="61147" b="29885"/>
            <a:stretch/>
          </xdr:blipFill>
          <xdr:spPr>
            <a:xfrm>
              <a:off x="-4738688" y="2952750"/>
              <a:ext cx="21669376" cy="1047750"/>
            </a:xfrm>
            <a:custGeom>
              <a:avLst/>
              <a:gdLst>
                <a:gd name="connsiteX0" fmla="*/ 0 w 21669376"/>
                <a:gd name="connsiteY0" fmla="*/ 0 h 1047750"/>
                <a:gd name="connsiteX1" fmla="*/ 21669376 w 21669376"/>
                <a:gd name="connsiteY1" fmla="*/ 0 h 1047750"/>
                <a:gd name="connsiteX2" fmla="*/ 21669376 w 21669376"/>
                <a:gd name="connsiteY2" fmla="*/ 1047750 h 1047750"/>
                <a:gd name="connsiteX3" fmla="*/ 0 w 21669376"/>
                <a:gd name="connsiteY3" fmla="*/ 1047750 h 1047750"/>
              </a:gdLst>
              <a:ahLst/>
              <a:cxnLst>
                <a:cxn ang="0">
                  <a:pos x="connsiteX0" y="connsiteY0"/>
                </a:cxn>
                <a:cxn ang="0">
                  <a:pos x="connsiteX1" y="connsiteY1"/>
                </a:cxn>
                <a:cxn ang="0">
                  <a:pos x="connsiteX2" y="connsiteY2"/>
                </a:cxn>
                <a:cxn ang="0">
                  <a:pos x="connsiteX3" y="connsiteY3"/>
                </a:cxn>
              </a:cxnLst>
              <a:rect l="l" t="t" r="r" b="b"/>
              <a:pathLst>
                <a:path w="21669376" h="1047750">
                  <a:moveTo>
                    <a:pt x="0" y="0"/>
                  </a:moveTo>
                  <a:lnTo>
                    <a:pt x="21669376" y="0"/>
                  </a:lnTo>
                  <a:lnTo>
                    <a:pt x="21669376" y="1047750"/>
                  </a:lnTo>
                  <a:lnTo>
                    <a:pt x="0" y="1047750"/>
                  </a:lnTo>
                  <a:close/>
                </a:path>
              </a:pathLst>
            </a:custGeom>
          </xdr:spPr>
        </xdr:pic>
        <xdr:sp macro="" textlink="">
          <xdr:nvSpPr>
            <xdr:cNvPr id="26" name="Rectangle 25">
              <a:extLst>
                <a:ext uri="{FF2B5EF4-FFF2-40B4-BE49-F238E27FC236}">
                  <a16:creationId xmlns:a16="http://schemas.microsoft.com/office/drawing/2014/main" id="{00000000-0008-0000-0100-00001A000000}"/>
                </a:ext>
              </a:extLst>
            </xdr:cNvPr>
            <xdr:cNvSpPr/>
          </xdr:nvSpPr>
          <xdr:spPr>
            <a:xfrm>
              <a:off x="-4738688" y="2952750"/>
              <a:ext cx="21669376" cy="1047750"/>
            </a:xfrm>
            <a:prstGeom prst="rect">
              <a:avLst/>
            </a:prstGeom>
            <a:solidFill>
              <a:srgbClr val="003963">
                <a:alpha val="89804"/>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sz="1100">
                <a:solidFill>
                  <a:schemeClr val="tx1"/>
                </a:solidFill>
              </a:endParaRPr>
            </a:p>
          </xdr:txBody>
        </xdr:sp>
      </xdr:grpSp>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2619375" y="196877"/>
            <a:ext cx="3063875" cy="638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IN" sz="3200">
                <a:solidFill>
                  <a:schemeClr val="bg1"/>
                </a:solidFill>
                <a:effectLst/>
                <a:latin typeface="Segoe UI Semibold" panose="020B0702040204020203" pitchFamily="34" charset="0"/>
                <a:ea typeface="+mn-ea"/>
                <a:cs typeface="Segoe UI Semibold" panose="020B0702040204020203" pitchFamily="34" charset="0"/>
              </a:rPr>
              <a:t>User Inputs</a:t>
            </a:r>
            <a:endParaRPr lang="en-IN" sz="3200">
              <a:solidFill>
                <a:schemeClr val="bg1"/>
              </a:solidFill>
              <a:effectLst/>
              <a:latin typeface="Segoe UI Semibold" panose="020B0702040204020203" pitchFamily="34" charset="0"/>
              <a:cs typeface="Segoe UI Semibold" panose="020B0702040204020203" pitchFamily="34" charset="0"/>
            </a:endParaRPr>
          </a:p>
        </xdr:txBody>
      </xdr:sp>
      <xdr:grpSp>
        <xdr:nvGrpSpPr>
          <xdr:cNvPr id="19" name="Group 18">
            <a:extLst>
              <a:ext uri="{FF2B5EF4-FFF2-40B4-BE49-F238E27FC236}">
                <a16:creationId xmlns:a16="http://schemas.microsoft.com/office/drawing/2014/main" id="{00000000-0008-0000-0100-000013000000}"/>
              </a:ext>
            </a:extLst>
          </xdr:cNvPr>
          <xdr:cNvGrpSpPr/>
        </xdr:nvGrpSpPr>
        <xdr:grpSpPr>
          <a:xfrm>
            <a:off x="15875" y="167523"/>
            <a:ext cx="2254250" cy="696829"/>
            <a:chOff x="15875" y="174625"/>
            <a:chExt cx="2206625" cy="696829"/>
          </a:xfrm>
        </xdr:grpSpPr>
        <xdr:sp macro="" textlink="">
          <xdr:nvSpPr>
            <xdr:cNvPr id="23" name="Rectangle: Top Corners Rounded 22">
              <a:hlinkClick xmlns:r="http://schemas.openxmlformats.org/officeDocument/2006/relationships" r:id="rId2"/>
              <a:extLst>
                <a:ext uri="{FF2B5EF4-FFF2-40B4-BE49-F238E27FC236}">
                  <a16:creationId xmlns:a16="http://schemas.microsoft.com/office/drawing/2014/main" id="{00000000-0008-0000-0100-000017000000}"/>
                </a:ext>
              </a:extLst>
            </xdr:cNvPr>
            <xdr:cNvSpPr/>
          </xdr:nvSpPr>
          <xdr:spPr>
            <a:xfrm rot="5400000">
              <a:off x="770773" y="-580273"/>
              <a:ext cx="696829" cy="2206625"/>
            </a:xfrm>
            <a:prstGeom prst="round2SameRect">
              <a:avLst>
                <a:gd name="adj1" fmla="val 50000"/>
                <a:gd name="adj2" fmla="val 0"/>
              </a:avLst>
            </a:prstGeom>
            <a:solidFill>
              <a:schemeClr val="bg1"/>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IN" sz="1100" dirty="0" err="1">
                <a:solidFill>
                  <a:schemeClr val="tx1"/>
                </a:solidFill>
              </a:endParaRPr>
            </a:p>
          </xdr:txBody>
        </xdr:sp>
        <xdr:pic>
          <xdr:nvPicPr>
            <xdr:cNvPr id="24" name="Picture 23">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79675" y="356092"/>
              <a:ext cx="1492666" cy="332525"/>
            </a:xfrm>
            <a:prstGeom prst="rect">
              <a:avLst/>
            </a:prstGeom>
            <a:extLst>
              <a:ext uri="{909E8E84-426E-40DD-AFC4-6F175D3DCCD1}">
                <a14:hiddenFill xmlns:a14="http://schemas.microsoft.com/office/drawing/2010/main">
                  <a:solidFill>
                    <a:srgbClr val="FFFFFF"/>
                  </a:solidFill>
                </a14:hiddenFill>
              </a:ext>
            </a:extLst>
          </xdr:spPr>
        </xdr:pic>
      </xdr:grpSp>
    </xdr:grpSp>
    <xdr:clientData/>
  </xdr:twoCellAnchor>
  <xdr:twoCellAnchor editAs="absolute">
    <xdr:from>
      <xdr:col>0</xdr:col>
      <xdr:colOff>0</xdr:colOff>
      <xdr:row>0</xdr:row>
      <xdr:rowOff>1021289</xdr:rowOff>
    </xdr:from>
    <xdr:to>
      <xdr:col>23</xdr:col>
      <xdr:colOff>838835</xdr:colOff>
      <xdr:row>1</xdr:row>
      <xdr:rowOff>284150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0" y="1021289"/>
          <a:ext cx="18475522" cy="291561"/>
        </a:xfrm>
        <a:prstGeom prst="rect">
          <a:avLst/>
        </a:prstGeom>
        <a:solidFill>
          <a:srgbClr val="008BF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74320" rtlCol="0" anchor="t">
          <a:noAutofit/>
        </a:bodyPr>
        <a:lstStyle/>
        <a:p>
          <a:r>
            <a:rPr lang="en-IN" sz="1200">
              <a:solidFill>
                <a:schemeClr val="bg1"/>
              </a:solidFill>
              <a:latin typeface="Segoe UI Semibold" panose="020B0702040204020203" pitchFamily="34" charset="0"/>
              <a:cs typeface="Segoe UI Semibold" panose="020B0702040204020203" pitchFamily="34" charset="0"/>
            </a:rPr>
            <a:t>Modify the default values (in the Blue highlighted input cells) on this sheet and press the Calculate button for a quick/preliminary assessment of the SKU Calculation. All subsequent/detailed values will be calculated based on these key inputs.</a:t>
          </a:r>
        </a:p>
      </xdr:txBody>
    </xdr:sp>
    <xdr:clientData/>
  </xdr:twoCellAnchor>
  <xdr:oneCellAnchor>
    <xdr:from>
      <xdr:col>0</xdr:col>
      <xdr:colOff>0</xdr:colOff>
      <xdr:row>14</xdr:row>
      <xdr:rowOff>70116</xdr:rowOff>
    </xdr:from>
    <xdr:ext cx="6232070" cy="365228"/>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0" y="4614902"/>
          <a:ext cx="6232070" cy="3652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74320" rtlCol="0" anchor="t">
          <a:spAutoFit/>
        </a:bodyPr>
        <a:lstStyle/>
        <a:p>
          <a:r>
            <a:rPr lang="en-IN" sz="1600">
              <a:solidFill>
                <a:schemeClr val="tx2">
                  <a:lumMod val="75000"/>
                </a:schemeClr>
              </a:solidFill>
              <a:latin typeface="Segoe UI Semibold" panose="020B0702040204020203" pitchFamily="34" charset="0"/>
              <a:cs typeface="Segoe UI Semibold" panose="020B0702040204020203" pitchFamily="34" charset="0"/>
            </a:rPr>
            <a:t>1. Data Lakehouse, Warehouse, &amp; Engineering use cases</a:t>
          </a:r>
        </a:p>
      </xdr:txBody>
    </xdr:sp>
    <xdr:clientData/>
  </xdr:oneCellAnchor>
  <xdr:oneCellAnchor>
    <xdr:from>
      <xdr:col>0</xdr:col>
      <xdr:colOff>1</xdr:colOff>
      <xdr:row>21</xdr:row>
      <xdr:rowOff>86784</xdr:rowOff>
    </xdr:from>
    <xdr:ext cx="3565070" cy="365228"/>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1" y="6182784"/>
          <a:ext cx="3565070" cy="3652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74320" rtlCol="0" anchor="t">
          <a:spAutoFit/>
        </a:bodyPr>
        <a:lstStyle/>
        <a:p>
          <a:r>
            <a:rPr lang="en-IN" sz="1600">
              <a:solidFill>
                <a:schemeClr val="tx2">
                  <a:lumMod val="75000"/>
                </a:schemeClr>
              </a:solidFill>
              <a:latin typeface="Segoe UI Semibold" panose="020B0702040204020203" pitchFamily="34" charset="0"/>
              <a:cs typeface="Segoe UI Semibold" panose="020B0702040204020203" pitchFamily="34" charset="0"/>
            </a:rPr>
            <a:t>2. Power BI and Adhoc Analytics</a:t>
          </a:r>
        </a:p>
      </xdr:txBody>
    </xdr:sp>
    <xdr:clientData/>
  </xdr:oneCellAnchor>
  <xdr:oneCellAnchor>
    <xdr:from>
      <xdr:col>0</xdr:col>
      <xdr:colOff>0</xdr:colOff>
      <xdr:row>37</xdr:row>
      <xdr:rowOff>69851</xdr:rowOff>
    </xdr:from>
    <xdr:ext cx="3291417" cy="365228"/>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0" y="6999289"/>
          <a:ext cx="3291417" cy="3652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74320" rtlCol="0" anchor="t">
          <a:spAutoFit/>
        </a:bodyPr>
        <a:lstStyle/>
        <a:p>
          <a:r>
            <a:rPr lang="en-IN" sz="1600">
              <a:solidFill>
                <a:schemeClr val="tx2">
                  <a:lumMod val="75000"/>
                </a:schemeClr>
              </a:solidFill>
              <a:latin typeface="Segoe UI Semibold" panose="020B0702040204020203" pitchFamily="34" charset="0"/>
              <a:cs typeface="Segoe UI Semibold" panose="020B0702040204020203" pitchFamily="34" charset="0"/>
            </a:rPr>
            <a:t>3. Real-Time Analytics</a:t>
          </a:r>
        </a:p>
      </xdr:txBody>
    </xdr:sp>
    <xdr:clientData/>
  </xdr:oneCellAnchor>
  <xdr:twoCellAnchor editAs="absolute">
    <xdr:from>
      <xdr:col>2</xdr:col>
      <xdr:colOff>2864982</xdr:colOff>
      <xdr:row>3</xdr:row>
      <xdr:rowOff>362403</xdr:rowOff>
    </xdr:from>
    <xdr:to>
      <xdr:col>3</xdr:col>
      <xdr:colOff>2485789</xdr:colOff>
      <xdr:row>5</xdr:row>
      <xdr:rowOff>85951</xdr:rowOff>
    </xdr:to>
    <xdr:grpSp>
      <xdr:nvGrpSpPr>
        <xdr:cNvPr id="3" name="Group 2">
          <a:extLst>
            <a:ext uri="{FF2B5EF4-FFF2-40B4-BE49-F238E27FC236}">
              <a16:creationId xmlns:a16="http://schemas.microsoft.com/office/drawing/2014/main" id="{00000000-0008-0000-0100-000003000000}"/>
            </a:ext>
          </a:extLst>
        </xdr:cNvPr>
        <xdr:cNvGrpSpPr/>
      </xdr:nvGrpSpPr>
      <xdr:grpSpPr>
        <a:xfrm>
          <a:off x="3764142" y="2092143"/>
          <a:ext cx="2630707" cy="561748"/>
          <a:chOff x="3833818" y="1381125"/>
          <a:chExt cx="2302600" cy="395288"/>
        </a:xfrm>
      </xdr:grpSpPr>
      <mc:AlternateContent xmlns:mc="http://schemas.openxmlformats.org/markup-compatibility/2006">
        <mc:Choice xmlns:a14="http://schemas.microsoft.com/office/drawing/2010/main" Requires="a14">
          <xdr:sp macro="" textlink="">
            <xdr:nvSpPr>
              <xdr:cNvPr id="69635" name="Option Button 3" hidden="1">
                <a:extLst>
                  <a:ext uri="{63B3BB69-23CF-44E3-9099-C40C66FF867C}">
                    <a14:compatExt spid="_x0000_s69635"/>
                  </a:ext>
                  <a:ext uri="{FF2B5EF4-FFF2-40B4-BE49-F238E27FC236}">
                    <a16:creationId xmlns:a16="http://schemas.microsoft.com/office/drawing/2014/main" id="{00000000-0008-0000-0100-000003100100}"/>
                  </a:ext>
                </a:extLst>
              </xdr:cNvPr>
              <xdr:cNvSpPr/>
            </xdr:nvSpPr>
            <xdr:spPr bwMode="auto">
              <a:xfrm>
                <a:off x="3833818" y="1381125"/>
                <a:ext cx="762001" cy="3952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Avg</a:t>
                </a:r>
              </a:p>
            </xdr:txBody>
          </xdr:sp>
        </mc:Choice>
        <mc:Fallback/>
      </mc:AlternateContent>
      <mc:AlternateContent xmlns:mc="http://schemas.openxmlformats.org/markup-compatibility/2006">
        <mc:Choice xmlns:a14="http://schemas.microsoft.com/office/drawing/2010/main" Requires="a14">
          <xdr:sp macro="" textlink="">
            <xdr:nvSpPr>
              <xdr:cNvPr id="69636" name="Option Button 4" hidden="1">
                <a:extLst>
                  <a:ext uri="{63B3BB69-23CF-44E3-9099-C40C66FF867C}">
                    <a14:compatExt spid="_x0000_s69636"/>
                  </a:ext>
                  <a:ext uri="{FF2B5EF4-FFF2-40B4-BE49-F238E27FC236}">
                    <a16:creationId xmlns:a16="http://schemas.microsoft.com/office/drawing/2014/main" id="{00000000-0008-0000-0100-000004100100}"/>
                  </a:ext>
                </a:extLst>
              </xdr:cNvPr>
              <xdr:cNvSpPr/>
            </xdr:nvSpPr>
            <xdr:spPr bwMode="auto">
              <a:xfrm>
                <a:off x="4976813" y="1381125"/>
                <a:ext cx="514350" cy="3952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Peak/Lean</a:t>
                </a:r>
              </a:p>
            </xdr:txBody>
          </xdr:sp>
        </mc:Choice>
        <mc:Fallback/>
      </mc:AlternateContent>
      <xdr:sp macro="" textlink="">
        <xdr:nvSpPr>
          <xdr:cNvPr id="39" name="Rectangle 38">
            <a:extLst>
              <a:ext uri="{FF2B5EF4-FFF2-40B4-BE49-F238E27FC236}">
                <a16:creationId xmlns:a16="http://schemas.microsoft.com/office/drawing/2014/main" id="{00000000-0008-0000-0100-000027000000}"/>
              </a:ext>
            </a:extLst>
          </xdr:cNvPr>
          <xdr:cNvSpPr/>
        </xdr:nvSpPr>
        <xdr:spPr>
          <a:xfrm>
            <a:off x="4024417" y="1521294"/>
            <a:ext cx="731520" cy="18288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N" sz="1200">
                <a:solidFill>
                  <a:schemeClr val="bg2">
                    <a:lumMod val="25000"/>
                  </a:schemeClr>
                </a:solidFill>
              </a:rPr>
              <a:t>Avg.</a:t>
            </a:r>
            <a:r>
              <a:rPr lang="en-IN" sz="1200" baseline="0">
                <a:solidFill>
                  <a:schemeClr val="bg2">
                    <a:lumMod val="25000"/>
                  </a:schemeClr>
                </a:solidFill>
              </a:rPr>
              <a:t> Usage</a:t>
            </a:r>
            <a:endParaRPr lang="en-IN" sz="1200">
              <a:solidFill>
                <a:schemeClr val="bg2">
                  <a:lumMod val="25000"/>
                </a:schemeClr>
              </a:solidFill>
            </a:endParaRPr>
          </a:p>
        </xdr:txBody>
      </xdr:sp>
      <xdr:sp macro="" textlink="">
        <xdr:nvSpPr>
          <xdr:cNvPr id="2" name="Rectangle 1">
            <a:extLst>
              <a:ext uri="{FF2B5EF4-FFF2-40B4-BE49-F238E27FC236}">
                <a16:creationId xmlns:a16="http://schemas.microsoft.com/office/drawing/2014/main" id="{00000000-0008-0000-0100-000002000000}"/>
              </a:ext>
            </a:extLst>
          </xdr:cNvPr>
          <xdr:cNvSpPr/>
        </xdr:nvSpPr>
        <xdr:spPr>
          <a:xfrm>
            <a:off x="5177625" y="1521835"/>
            <a:ext cx="958793" cy="16024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r>
              <a:rPr lang="en-IN" sz="1200">
                <a:solidFill>
                  <a:schemeClr val="bg2">
                    <a:lumMod val="25000"/>
                  </a:schemeClr>
                </a:solidFill>
              </a:rPr>
              <a:t>Peak/</a:t>
            </a:r>
            <a:r>
              <a:rPr lang="en-IN" sz="1200" baseline="0">
                <a:solidFill>
                  <a:schemeClr val="bg2">
                    <a:lumMod val="25000"/>
                  </a:schemeClr>
                </a:solidFill>
              </a:rPr>
              <a:t> Lean</a:t>
            </a:r>
            <a:endParaRPr lang="en-IN" sz="1200">
              <a:solidFill>
                <a:schemeClr val="bg2">
                  <a:lumMod val="25000"/>
                </a:schemeClr>
              </a:solidFill>
            </a:endParaRPr>
          </a:p>
        </xdr:txBody>
      </xdr:sp>
    </xdr:grpSp>
    <xdr:clientData/>
  </xdr:twoCellAnchor>
  <xdr:twoCellAnchor editAs="absolute">
    <xdr:from>
      <xdr:col>0</xdr:col>
      <xdr:colOff>1</xdr:colOff>
      <xdr:row>1</xdr:row>
      <xdr:rowOff>287337</xdr:rowOff>
    </xdr:from>
    <xdr:to>
      <xdr:col>23</xdr:col>
      <xdr:colOff>846574</xdr:colOff>
      <xdr:row>2</xdr:row>
      <xdr:rowOff>296965</xdr:rowOff>
    </xdr:to>
    <xdr:sp macro="" textlink="">
      <xdr:nvSpPr>
        <xdr:cNvPr id="5" name="TextBox 4">
          <a:extLst>
            <a:ext uri="{FF2B5EF4-FFF2-40B4-BE49-F238E27FC236}">
              <a16:creationId xmlns:a16="http://schemas.microsoft.com/office/drawing/2014/main" id="{00000000-0008-0000-0100-000005000000}"/>
            </a:ext>
            <a:ext uri="{147F2762-F138-4A5C-976F-8EAC2B608ADB}">
              <a16:predDERef xmlns:a16="http://schemas.microsoft.com/office/drawing/2014/main" pred="{00000000-0008-0000-0100-000003000000}"/>
            </a:ext>
          </a:extLst>
        </xdr:cNvPr>
        <xdr:cNvSpPr txBox="1"/>
      </xdr:nvSpPr>
      <xdr:spPr>
        <a:xfrm>
          <a:off x="1" y="1311275"/>
          <a:ext cx="18478499" cy="365228"/>
        </a:xfrm>
        <a:prstGeom prst="rect">
          <a:avLst/>
        </a:prstGeom>
        <a:solidFill>
          <a:schemeClr val="tx2">
            <a:lumMod val="90000"/>
            <a:lumOff val="1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74320" rtlCol="0" anchor="t">
          <a:spAutoFit/>
        </a:bodyPr>
        <a:lstStyle/>
        <a:p>
          <a:pPr marL="0" indent="0"/>
          <a:r>
            <a:rPr lang="en-US" sz="1600">
              <a:solidFill>
                <a:schemeClr val="bg1"/>
              </a:solidFill>
              <a:latin typeface="Segoe UI Semibold" panose="020B0702040204020203" pitchFamily="34" charset="0"/>
              <a:cs typeface="Segoe UI Semibold" panose="020B0702040204020203" pitchFamily="34" charset="0"/>
            </a:rPr>
            <a:t>R</a:t>
          </a:r>
          <a:r>
            <a:rPr lang="en-US" sz="1600" b="0" i="0" u="none" strike="noStrike">
              <a:solidFill>
                <a:schemeClr val="bg1"/>
              </a:solidFill>
              <a:latin typeface="Segoe UI Semibold" panose="020B0702040204020203" pitchFamily="34" charset="0"/>
              <a:cs typeface="Segoe UI Semibold" panose="020B0702040204020203" pitchFamily="34" charset="0"/>
            </a:rPr>
            <a:t>equired</a:t>
          </a:r>
          <a:r>
            <a:rPr lang="en-US" sz="1600">
              <a:solidFill>
                <a:schemeClr val="bg1"/>
              </a:solidFill>
              <a:latin typeface="Segoe UI Semibold" panose="020B0702040204020203" pitchFamily="34" charset="0"/>
              <a:cs typeface="Segoe UI Semibold" panose="020B0702040204020203" pitchFamily="34" charset="0"/>
            </a:rPr>
            <a:t> Inputs</a:t>
          </a:r>
        </a:p>
      </xdr:txBody>
    </xdr:sp>
    <xdr:clientData/>
  </xdr:twoCellAnchor>
  <xdr:twoCellAnchor editAs="absolute">
    <xdr:from>
      <xdr:col>0</xdr:col>
      <xdr:colOff>9528</xdr:colOff>
      <xdr:row>12</xdr:row>
      <xdr:rowOff>169850</xdr:rowOff>
    </xdr:from>
    <xdr:to>
      <xdr:col>23</xdr:col>
      <xdr:colOff>857627</xdr:colOff>
      <xdr:row>14</xdr:row>
      <xdr:rowOff>123916</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9528" y="4292588"/>
          <a:ext cx="18480024" cy="365228"/>
        </a:xfrm>
        <a:prstGeom prst="rect">
          <a:avLst/>
        </a:prstGeom>
        <a:solidFill>
          <a:schemeClr val="tx2">
            <a:lumMod val="90000"/>
            <a:lumOff val="1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74320" rtlCol="0" anchor="t">
          <a:spAutoFit/>
        </a:bodyPr>
        <a:lstStyle/>
        <a:p>
          <a:r>
            <a:rPr lang="en-IN" sz="1600">
              <a:solidFill>
                <a:schemeClr val="bg1"/>
              </a:solidFill>
              <a:latin typeface="Segoe UI Semibold" panose="020B0702040204020203" pitchFamily="34" charset="0"/>
              <a:cs typeface="Segoe UI Semibold" panose="020B0702040204020203" pitchFamily="34" charset="0"/>
            </a:rPr>
            <a:t>Use-case specific Inputs (Optional)</a:t>
          </a:r>
        </a:p>
      </xdr:txBody>
    </xdr:sp>
    <xdr:clientData/>
  </xdr:twoCellAnchor>
  <mc:AlternateContent xmlns:mc="http://schemas.openxmlformats.org/markup-compatibility/2006">
    <mc:Choice xmlns:a14="http://schemas.microsoft.com/office/drawing/2010/main" Requires="a14">
      <xdr:twoCellAnchor editAs="absolute">
        <xdr:from>
          <xdr:col>3</xdr:col>
          <xdr:colOff>1112520</xdr:colOff>
          <xdr:row>18</xdr:row>
          <xdr:rowOff>198120</xdr:rowOff>
        </xdr:from>
        <xdr:to>
          <xdr:col>3</xdr:col>
          <xdr:colOff>1485900</xdr:colOff>
          <xdr:row>19</xdr:row>
          <xdr:rowOff>198120</xdr:rowOff>
        </xdr:to>
        <xdr:sp macro="" textlink="">
          <xdr:nvSpPr>
            <xdr:cNvPr id="69643" name="Check Box 11" hidden="1">
              <a:extLst>
                <a:ext uri="{63B3BB69-23CF-44E3-9099-C40C66FF867C}">
                  <a14:compatExt spid="_x0000_s69643"/>
                </a:ext>
                <a:ext uri="{FF2B5EF4-FFF2-40B4-BE49-F238E27FC236}">
                  <a16:creationId xmlns:a16="http://schemas.microsoft.com/office/drawing/2014/main" id="{00000000-0008-0000-0100-00000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1135380</xdr:colOff>
          <xdr:row>33</xdr:row>
          <xdr:rowOff>198120</xdr:rowOff>
        </xdr:from>
        <xdr:to>
          <xdr:col>3</xdr:col>
          <xdr:colOff>1554480</xdr:colOff>
          <xdr:row>34</xdr:row>
          <xdr:rowOff>198120</xdr:rowOff>
        </xdr:to>
        <xdr:sp macro="" textlink="">
          <xdr:nvSpPr>
            <xdr:cNvPr id="69650" name="Check Box 18" hidden="1">
              <a:extLst>
                <a:ext uri="{63B3BB69-23CF-44E3-9099-C40C66FF867C}">
                  <a14:compatExt spid="_x0000_s69650"/>
                </a:ext>
                <a:ext uri="{FF2B5EF4-FFF2-40B4-BE49-F238E27FC236}">
                  <a16:creationId xmlns:a16="http://schemas.microsoft.com/office/drawing/2014/main" id="{00000000-0008-0000-0100-00001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absolute">
    <xdr:from>
      <xdr:col>0</xdr:col>
      <xdr:colOff>0</xdr:colOff>
      <xdr:row>4</xdr:row>
      <xdr:rowOff>390512</xdr:rowOff>
    </xdr:from>
    <xdr:to>
      <xdr:col>23</xdr:col>
      <xdr:colOff>857624</xdr:colOff>
      <xdr:row>5</xdr:row>
      <xdr:rowOff>245732</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0" y="2544750"/>
          <a:ext cx="18480024" cy="274320"/>
        </a:xfrm>
        <a:prstGeom prst="rect">
          <a:avLst/>
        </a:prstGeom>
        <a:solidFill>
          <a:schemeClr val="bg2">
            <a:alpha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74320" rtlCol="0" anchor="t">
          <a:noAutofit/>
        </a:bodyPr>
        <a:lstStyle/>
        <a:p>
          <a:endParaRPr lang="en-IN" sz="1600">
            <a:solidFill>
              <a:schemeClr val="bg1"/>
            </a:solidFill>
            <a:latin typeface="Segoe UI Semibold" panose="020B0702040204020203" pitchFamily="34" charset="0"/>
            <a:cs typeface="Segoe UI Semibold" panose="020B0702040204020203" pitchFamily="34" charset="0"/>
          </a:endParaRPr>
        </a:p>
      </xdr:txBody>
    </xdr:sp>
    <xdr:clientData/>
  </xdr:twoCellAnchor>
  <xdr:twoCellAnchor editAs="absolute">
    <xdr:from>
      <xdr:col>0</xdr:col>
      <xdr:colOff>0</xdr:colOff>
      <xdr:row>15</xdr:row>
      <xdr:rowOff>169850</xdr:rowOff>
    </xdr:from>
    <xdr:to>
      <xdr:col>23</xdr:col>
      <xdr:colOff>838955</xdr:colOff>
      <xdr:row>16</xdr:row>
      <xdr:rowOff>218745</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0" y="4919650"/>
          <a:ext cx="18470880" cy="264795"/>
        </a:xfrm>
        <a:prstGeom prst="rect">
          <a:avLst/>
        </a:prstGeom>
        <a:solidFill>
          <a:schemeClr val="bg2">
            <a:alpha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74320" rtlCol="0" anchor="t">
          <a:noAutofit/>
        </a:bodyPr>
        <a:lstStyle/>
        <a:p>
          <a:endParaRPr lang="en-IN" sz="1600">
            <a:solidFill>
              <a:schemeClr val="bg1"/>
            </a:solidFill>
            <a:latin typeface="Segoe UI Semibold" panose="020B0702040204020203" pitchFamily="34" charset="0"/>
            <a:cs typeface="Segoe UI Semibold" panose="020B0702040204020203" pitchFamily="34" charset="0"/>
          </a:endParaRPr>
        </a:p>
      </xdr:txBody>
    </xdr:sp>
    <xdr:clientData/>
  </xdr:twoCellAnchor>
  <xdr:twoCellAnchor editAs="absolute">
    <xdr:from>
      <xdr:col>0</xdr:col>
      <xdr:colOff>0</xdr:colOff>
      <xdr:row>23</xdr:row>
      <xdr:rowOff>200014</xdr:rowOff>
    </xdr:from>
    <xdr:to>
      <xdr:col>23</xdr:col>
      <xdr:colOff>857624</xdr:colOff>
      <xdr:row>25</xdr:row>
      <xdr:rowOff>1259</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0" y="6264038"/>
          <a:ext cx="18512228" cy="266609"/>
        </a:xfrm>
        <a:prstGeom prst="rect">
          <a:avLst/>
        </a:prstGeom>
        <a:solidFill>
          <a:schemeClr val="bg2">
            <a:alpha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74320" rtlCol="0" anchor="t">
          <a:noAutofit/>
        </a:bodyPr>
        <a:lstStyle/>
        <a:p>
          <a:endParaRPr lang="en-IN" sz="1600">
            <a:solidFill>
              <a:schemeClr val="bg1"/>
            </a:solidFill>
            <a:latin typeface="Segoe UI Semibold" panose="020B0702040204020203" pitchFamily="34" charset="0"/>
            <a:cs typeface="Segoe UI Semibold" panose="020B0702040204020203" pitchFamily="34" charset="0"/>
          </a:endParaRPr>
        </a:p>
      </xdr:txBody>
    </xdr:sp>
    <xdr:clientData/>
  </xdr:twoCellAnchor>
  <xdr:twoCellAnchor editAs="absolute">
    <xdr:from>
      <xdr:col>0</xdr:col>
      <xdr:colOff>0</xdr:colOff>
      <xdr:row>39</xdr:row>
      <xdr:rowOff>172795</xdr:rowOff>
    </xdr:from>
    <xdr:to>
      <xdr:col>23</xdr:col>
      <xdr:colOff>857624</xdr:colOff>
      <xdr:row>40</xdr:row>
      <xdr:rowOff>216929</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0" y="9488926"/>
          <a:ext cx="18512228" cy="266610"/>
        </a:xfrm>
        <a:prstGeom prst="rect">
          <a:avLst/>
        </a:prstGeom>
        <a:solidFill>
          <a:schemeClr val="bg2">
            <a:alpha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74320" rtlCol="0" anchor="t">
          <a:noAutofit/>
        </a:bodyPr>
        <a:lstStyle/>
        <a:p>
          <a:endParaRPr lang="en-IN" sz="1600">
            <a:solidFill>
              <a:schemeClr val="bg1"/>
            </a:solidFill>
            <a:latin typeface="Segoe UI Semibold" panose="020B0702040204020203" pitchFamily="34" charset="0"/>
            <a:cs typeface="Segoe UI Semibold" panose="020B0702040204020203" pitchFamily="34" charset="0"/>
          </a:endParaRPr>
        </a:p>
      </xdr:txBody>
    </xdr:sp>
    <xdr:clientData/>
  </xdr:twoCellAnchor>
  <xdr:twoCellAnchor>
    <xdr:from>
      <xdr:col>7</xdr:col>
      <xdr:colOff>25400</xdr:colOff>
      <xdr:row>2</xdr:row>
      <xdr:rowOff>342900</xdr:rowOff>
    </xdr:from>
    <xdr:to>
      <xdr:col>11</xdr:col>
      <xdr:colOff>381000</xdr:colOff>
      <xdr:row>4</xdr:row>
      <xdr:rowOff>25400</xdr:rowOff>
    </xdr:to>
    <xdr:grpSp>
      <xdr:nvGrpSpPr>
        <xdr:cNvPr id="12" name="Group 11">
          <a:extLst>
            <a:ext uri="{FF2B5EF4-FFF2-40B4-BE49-F238E27FC236}">
              <a16:creationId xmlns:a16="http://schemas.microsoft.com/office/drawing/2014/main" id="{00000000-0008-0000-0100-00000C000000}"/>
            </a:ext>
          </a:extLst>
        </xdr:cNvPr>
        <xdr:cNvGrpSpPr/>
      </xdr:nvGrpSpPr>
      <xdr:grpSpPr>
        <a:xfrm>
          <a:off x="7089140" y="1722120"/>
          <a:ext cx="3533140" cy="452120"/>
          <a:chOff x="6743700" y="1752600"/>
          <a:chExt cx="3429000" cy="457200"/>
        </a:xfrm>
      </xdr:grpSpPr>
      <xdr:sp macro="[0]!Module2.SelectMacro" textlink="">
        <xdr:nvSpPr>
          <xdr:cNvPr id="4" name="Rectangle: Rounded Corners 3">
            <a:extLst>
              <a:ext uri="{FF2B5EF4-FFF2-40B4-BE49-F238E27FC236}">
                <a16:creationId xmlns:a16="http://schemas.microsoft.com/office/drawing/2014/main" id="{00000000-0008-0000-0100-000004000000}"/>
              </a:ext>
            </a:extLst>
          </xdr:cNvPr>
          <xdr:cNvSpPr/>
        </xdr:nvSpPr>
        <xdr:spPr>
          <a:xfrm>
            <a:off x="6743700" y="1752600"/>
            <a:ext cx="1676400" cy="457200"/>
          </a:xfrm>
          <a:prstGeom prst="roundRect">
            <a:avLst/>
          </a:prstGeom>
          <a:solidFill>
            <a:srgbClr val="008BF2"/>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latin typeface="Segoe UI Semibold" panose="020B0702040204020203" pitchFamily="34" charset="0"/>
                <a:cs typeface="Segoe UI Semibold" panose="020B0702040204020203" pitchFamily="34" charset="0"/>
              </a:rPr>
              <a:t>Calculate</a:t>
            </a:r>
          </a:p>
        </xdr:txBody>
      </xdr:sp>
      <xdr:sp macro="[0]!Module2.Reset_Model" textlink="">
        <xdr:nvSpPr>
          <xdr:cNvPr id="11" name="Rectangle: Rounded Corners 10">
            <a:extLst>
              <a:ext uri="{FF2B5EF4-FFF2-40B4-BE49-F238E27FC236}">
                <a16:creationId xmlns:a16="http://schemas.microsoft.com/office/drawing/2014/main" id="{00000000-0008-0000-0100-00000B000000}"/>
              </a:ext>
            </a:extLst>
          </xdr:cNvPr>
          <xdr:cNvSpPr/>
        </xdr:nvSpPr>
        <xdr:spPr>
          <a:xfrm>
            <a:off x="8496300" y="1752600"/>
            <a:ext cx="1676400" cy="457200"/>
          </a:xfrm>
          <a:prstGeom prst="roundRect">
            <a:avLst/>
          </a:prstGeom>
          <a:solidFill>
            <a:srgbClr val="008BF2"/>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solidFill>
                  <a:schemeClr val="bg1"/>
                </a:solidFill>
                <a:latin typeface="Segoe UI Semibold" panose="020B0702040204020203" pitchFamily="34" charset="0"/>
                <a:cs typeface="Segoe UI Semibold" panose="020B0702040204020203" pitchFamily="34" charset="0"/>
              </a:rPr>
              <a:t>Reset Model</a:t>
            </a:r>
          </a:p>
        </xdr:txBody>
      </xdr:sp>
    </xdr:grpSp>
    <xdr:clientData/>
  </xdr:twoCellAnchor>
  <xdr:twoCellAnchor editAs="absolute">
    <xdr:from>
      <xdr:col>22</xdr:col>
      <xdr:colOff>865</xdr:colOff>
      <xdr:row>0</xdr:row>
      <xdr:rowOff>152400</xdr:rowOff>
    </xdr:from>
    <xdr:to>
      <xdr:col>23</xdr:col>
      <xdr:colOff>657662</xdr:colOff>
      <xdr:row>0</xdr:row>
      <xdr:rowOff>715962</xdr:rowOff>
    </xdr:to>
    <xdr:grpSp>
      <xdr:nvGrpSpPr>
        <xdr:cNvPr id="51" name="Group 50">
          <a:extLst>
            <a:ext uri="{FF2B5EF4-FFF2-40B4-BE49-F238E27FC236}">
              <a16:creationId xmlns:a16="http://schemas.microsoft.com/office/drawing/2014/main" id="{00000000-0008-0000-0100-000033000000}"/>
            </a:ext>
          </a:extLst>
        </xdr:cNvPr>
        <xdr:cNvGrpSpPr/>
      </xdr:nvGrpSpPr>
      <xdr:grpSpPr>
        <a:xfrm>
          <a:off x="17374465" y="152400"/>
          <a:ext cx="1616917" cy="563562"/>
          <a:chOff x="16656050" y="241300"/>
          <a:chExt cx="349250" cy="558800"/>
        </a:xfrm>
      </xdr:grpSpPr>
      <xdr:sp macro="" textlink="">
        <xdr:nvSpPr>
          <xdr:cNvPr id="13" name="Flowchart: Terminator 12">
            <a:extLst>
              <a:ext uri="{FF2B5EF4-FFF2-40B4-BE49-F238E27FC236}">
                <a16:creationId xmlns:a16="http://schemas.microsoft.com/office/drawing/2014/main" id="{00000000-0008-0000-0100-00000D000000}"/>
              </a:ext>
            </a:extLst>
          </xdr:cNvPr>
          <xdr:cNvSpPr/>
        </xdr:nvSpPr>
        <xdr:spPr>
          <a:xfrm flipH="1">
            <a:off x="16656050" y="241300"/>
            <a:ext cx="349250" cy="558800"/>
          </a:xfrm>
          <a:prstGeom prst="flowChartTerminator">
            <a:avLst/>
          </a:prstGeom>
          <a:solidFill>
            <a:srgbClr val="00BCF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0]!Toggle_Button" textlink="">
        <xdr:nvSpPr>
          <xdr:cNvPr id="45" name="TextBox 44" hidden="1">
            <a:extLst>
              <a:ext uri="{FF2B5EF4-FFF2-40B4-BE49-F238E27FC236}">
                <a16:creationId xmlns:a16="http://schemas.microsoft.com/office/drawing/2014/main" id="{00000000-0008-0000-0100-00002D000000}"/>
              </a:ext>
            </a:extLst>
          </xdr:cNvPr>
          <xdr:cNvSpPr txBox="1"/>
        </xdr:nvSpPr>
        <xdr:spPr>
          <a:xfrm flipH="1">
            <a:off x="16667862" y="342900"/>
            <a:ext cx="201208" cy="355600"/>
          </a:xfrm>
          <a:prstGeom prst="rect">
            <a:avLst/>
          </a:prstGeom>
          <a:noFill/>
          <a:ln w="9525" cmpd="sng">
            <a:noFill/>
          </a:ln>
          <a:scene3d>
            <a:camera prst="orthographicFront"/>
            <a:lightRig rig="threePt" dir="t"/>
          </a:scene3d>
          <a:sp3d>
            <a:contourClr>
              <a:schemeClr val="tx2">
                <a:lumMod val="90000"/>
                <a:lumOff val="10000"/>
              </a:schemeClr>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0">
                <a:solidFill>
                  <a:schemeClr val="bg1"/>
                </a:solidFill>
                <a:latin typeface="Segoe UI Semibold" panose="020B0702040204020203" pitchFamily="34" charset="0"/>
                <a:cs typeface="Segoe UI Semibold" panose="020B0702040204020203" pitchFamily="34" charset="0"/>
              </a:rPr>
              <a:t>Weekly</a:t>
            </a:r>
          </a:p>
        </xdr:txBody>
      </xdr:sp>
      <xdr:sp macro="[0]!Toggle_Button" textlink="">
        <xdr:nvSpPr>
          <xdr:cNvPr id="46" name="TextBox 45">
            <a:extLst>
              <a:ext uri="{FF2B5EF4-FFF2-40B4-BE49-F238E27FC236}">
                <a16:creationId xmlns:a16="http://schemas.microsoft.com/office/drawing/2014/main" id="{00000000-0008-0000-0100-00002E000000}"/>
              </a:ext>
            </a:extLst>
          </xdr:cNvPr>
          <xdr:cNvSpPr txBox="1"/>
        </xdr:nvSpPr>
        <xdr:spPr>
          <a:xfrm flipH="1">
            <a:off x="16791681" y="304800"/>
            <a:ext cx="213619" cy="381000"/>
          </a:xfrm>
          <a:prstGeom prst="rect">
            <a:avLst/>
          </a:prstGeom>
          <a:noFill/>
          <a:ln w="9525" cmpd="sng">
            <a:noFill/>
          </a:ln>
          <a:scene3d>
            <a:camera prst="orthographicFront"/>
            <a:lightRig rig="threePt" dir="t"/>
          </a:scene3d>
          <a:sp3d>
            <a:contourClr>
              <a:schemeClr val="tx2">
                <a:lumMod val="90000"/>
                <a:lumOff val="10000"/>
              </a:schemeClr>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IN" sz="1400" b="0">
                <a:solidFill>
                  <a:schemeClr val="bg1"/>
                </a:solidFill>
                <a:latin typeface="Segoe UI Semibold" panose="020B0702040204020203" pitchFamily="34" charset="0"/>
                <a:cs typeface="Segoe UI Semibold" panose="020B0702040204020203" pitchFamily="34" charset="0"/>
              </a:rPr>
              <a:t>Monthly</a:t>
            </a:r>
          </a:p>
        </xdr:txBody>
      </xdr:sp>
    </xdr:grpSp>
    <xdr:clientData/>
  </xdr:twoCellAnchor>
  <xdr:twoCellAnchor editAs="absolute">
    <xdr:from>
      <xdr:col>22</xdr:col>
      <xdr:colOff>122231</xdr:colOff>
      <xdr:row>0</xdr:row>
      <xdr:rowOff>220662</xdr:rowOff>
    </xdr:from>
    <xdr:to>
      <xdr:col>22</xdr:col>
      <xdr:colOff>579080</xdr:colOff>
      <xdr:row>0</xdr:row>
      <xdr:rowOff>657542</xdr:rowOff>
    </xdr:to>
    <xdr:sp macro="[0]!Toggle_Button" textlink="">
      <xdr:nvSpPr>
        <xdr:cNvPr id="32" name="Oval 31">
          <a:extLst>
            <a:ext uri="{FF2B5EF4-FFF2-40B4-BE49-F238E27FC236}">
              <a16:creationId xmlns:a16="http://schemas.microsoft.com/office/drawing/2014/main" id="{00000000-0008-0000-0100-000020000000}"/>
            </a:ext>
          </a:extLst>
        </xdr:cNvPr>
        <xdr:cNvSpPr/>
      </xdr:nvSpPr>
      <xdr:spPr>
        <a:xfrm flipH="1">
          <a:off x="18280912" y="220662"/>
          <a:ext cx="469304" cy="436880"/>
        </a:xfrm>
        <a:prstGeom prst="ellipse">
          <a:avLst/>
        </a:prstGeom>
        <a:solidFill>
          <a:schemeClr val="bg1"/>
        </a:solidFill>
        <a:ln>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absolute">
    <xdr:from>
      <xdr:col>9</xdr:col>
      <xdr:colOff>418629</xdr:colOff>
      <xdr:row>0</xdr:row>
      <xdr:rowOff>627062</xdr:rowOff>
    </xdr:from>
    <xdr:to>
      <xdr:col>23</xdr:col>
      <xdr:colOff>733862</xdr:colOff>
      <xdr:row>0</xdr:row>
      <xdr:rowOff>990600</xdr:rowOff>
    </xdr:to>
    <xdr:sp macro="" textlink="">
      <xdr:nvSpPr>
        <xdr:cNvPr id="49" name="Rectangle 48">
          <a:extLst>
            <a:ext uri="{FF2B5EF4-FFF2-40B4-BE49-F238E27FC236}">
              <a16:creationId xmlns:a16="http://schemas.microsoft.com/office/drawing/2014/main" id="{00000000-0008-0000-0100-000031000000}"/>
            </a:ext>
          </a:extLst>
        </xdr:cNvPr>
        <xdr:cNvSpPr/>
      </xdr:nvSpPr>
      <xdr:spPr>
        <a:xfrm flipH="1">
          <a:off x="9016999" y="622300"/>
          <a:ext cx="9334501" cy="3683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b"/>
        <a:lstStyle/>
        <a:p>
          <a:pPr algn="r"/>
          <a:r>
            <a:rPr lang="en-IN" sz="1100" baseline="0">
              <a:latin typeface="Segoe UI Semibold" panose="020B0702040204020203" pitchFamily="34" charset="0"/>
              <a:cs typeface="Segoe UI Semibold" panose="020B0702040204020203" pitchFamily="34" charset="0"/>
            </a:rPr>
            <a:t>Switch between Weekly / Monthly estimation settings</a:t>
          </a:r>
          <a:endParaRPr lang="en-IN" sz="1100">
            <a:latin typeface="Segoe UI Semibold" panose="020B0702040204020203" pitchFamily="34" charset="0"/>
            <a:cs typeface="Segoe UI Semibold" panose="020B0702040204020203" pitchFamily="34" charset="0"/>
          </a:endParaRPr>
        </a:p>
      </xdr:txBody>
    </xdr:sp>
    <xdr:clientData/>
  </xdr:twoCellAnchor>
  <mc:AlternateContent xmlns:mc="http://schemas.openxmlformats.org/markup-compatibility/2006">
    <mc:Choice xmlns:a14="http://schemas.microsoft.com/office/drawing/2010/main" Requires="a14">
      <xdr:twoCellAnchor editAs="absolute">
        <xdr:from>
          <xdr:col>3</xdr:col>
          <xdr:colOff>1127760</xdr:colOff>
          <xdr:row>29</xdr:row>
          <xdr:rowOff>22860</xdr:rowOff>
        </xdr:from>
        <xdr:to>
          <xdr:col>3</xdr:col>
          <xdr:colOff>1554480</xdr:colOff>
          <xdr:row>30</xdr:row>
          <xdr:rowOff>22860</xdr:rowOff>
        </xdr:to>
        <xdr:sp macro="" textlink="">
          <xdr:nvSpPr>
            <xdr:cNvPr id="69654" name="Check Box 22" hidden="1">
              <a:extLst>
                <a:ext uri="{63B3BB69-23CF-44E3-9099-C40C66FF867C}">
                  <a14:compatExt spid="_x0000_s69654"/>
                </a:ext>
                <a:ext uri="{FF2B5EF4-FFF2-40B4-BE49-F238E27FC236}">
                  <a16:creationId xmlns:a16="http://schemas.microsoft.com/office/drawing/2014/main" id="{00000000-0008-0000-0100-00001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xdr:rowOff>
    </xdr:from>
    <xdr:to>
      <xdr:col>19</xdr:col>
      <xdr:colOff>12700</xdr:colOff>
      <xdr:row>1</xdr:row>
      <xdr:rowOff>26307</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0" y="12700"/>
          <a:ext cx="18718696" cy="1040650"/>
          <a:chOff x="0" y="1"/>
          <a:chExt cx="21193126" cy="1040130"/>
        </a:xfrm>
      </xdr:grpSpPr>
      <xdr:grpSp>
        <xdr:nvGrpSpPr>
          <xdr:cNvPr id="4" name="Group 3">
            <a:extLst>
              <a:ext uri="{FF2B5EF4-FFF2-40B4-BE49-F238E27FC236}">
                <a16:creationId xmlns:a16="http://schemas.microsoft.com/office/drawing/2014/main" id="{00000000-0008-0000-0200-000004000000}"/>
              </a:ext>
            </a:extLst>
          </xdr:cNvPr>
          <xdr:cNvGrpSpPr/>
        </xdr:nvGrpSpPr>
        <xdr:grpSpPr>
          <a:xfrm>
            <a:off x="0" y="1"/>
            <a:ext cx="21193126" cy="1040130"/>
            <a:chOff x="-4738688" y="2952750"/>
            <a:chExt cx="21669376" cy="1056132"/>
          </a:xfrm>
        </xdr:grpSpPr>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1"/>
            <a:srcRect l="30446" t="61147" b="29885"/>
            <a:stretch/>
          </xdr:blipFill>
          <xdr:spPr>
            <a:xfrm>
              <a:off x="-4738688" y="2952750"/>
              <a:ext cx="21669376" cy="1047750"/>
            </a:xfrm>
            <a:custGeom>
              <a:avLst/>
              <a:gdLst>
                <a:gd name="connsiteX0" fmla="*/ 0 w 21669376"/>
                <a:gd name="connsiteY0" fmla="*/ 0 h 1047750"/>
                <a:gd name="connsiteX1" fmla="*/ 21669376 w 21669376"/>
                <a:gd name="connsiteY1" fmla="*/ 0 h 1047750"/>
                <a:gd name="connsiteX2" fmla="*/ 21669376 w 21669376"/>
                <a:gd name="connsiteY2" fmla="*/ 1047750 h 1047750"/>
                <a:gd name="connsiteX3" fmla="*/ 0 w 21669376"/>
                <a:gd name="connsiteY3" fmla="*/ 1047750 h 1047750"/>
              </a:gdLst>
              <a:ahLst/>
              <a:cxnLst>
                <a:cxn ang="0">
                  <a:pos x="connsiteX0" y="connsiteY0"/>
                </a:cxn>
                <a:cxn ang="0">
                  <a:pos x="connsiteX1" y="connsiteY1"/>
                </a:cxn>
                <a:cxn ang="0">
                  <a:pos x="connsiteX2" y="connsiteY2"/>
                </a:cxn>
                <a:cxn ang="0">
                  <a:pos x="connsiteX3" y="connsiteY3"/>
                </a:cxn>
              </a:cxnLst>
              <a:rect l="l" t="t" r="r" b="b"/>
              <a:pathLst>
                <a:path w="21669376" h="1047750">
                  <a:moveTo>
                    <a:pt x="0" y="0"/>
                  </a:moveTo>
                  <a:lnTo>
                    <a:pt x="21669376" y="0"/>
                  </a:lnTo>
                  <a:lnTo>
                    <a:pt x="21669376" y="1047750"/>
                  </a:lnTo>
                  <a:lnTo>
                    <a:pt x="0" y="1047750"/>
                  </a:lnTo>
                  <a:close/>
                </a:path>
              </a:pathLst>
            </a:custGeom>
          </xdr:spPr>
        </xdr:pic>
        <xdr:sp macro="" textlink="">
          <xdr:nvSpPr>
            <xdr:cNvPr id="13" name="Rectangle 12">
              <a:extLst>
                <a:ext uri="{FF2B5EF4-FFF2-40B4-BE49-F238E27FC236}">
                  <a16:creationId xmlns:a16="http://schemas.microsoft.com/office/drawing/2014/main" id="{00000000-0008-0000-0200-00000D000000}"/>
                </a:ext>
              </a:extLst>
            </xdr:cNvPr>
            <xdr:cNvSpPr/>
          </xdr:nvSpPr>
          <xdr:spPr>
            <a:xfrm>
              <a:off x="-4738688" y="2952750"/>
              <a:ext cx="21669376" cy="1056132"/>
            </a:xfrm>
            <a:prstGeom prst="rect">
              <a:avLst/>
            </a:prstGeom>
            <a:solidFill>
              <a:srgbClr val="003963">
                <a:alpha val="89804"/>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sz="1100">
                <a:solidFill>
                  <a:schemeClr val="tx1"/>
                </a:solidFill>
              </a:endParaRPr>
            </a:p>
          </xdr:txBody>
        </xdr:sp>
      </xdr:grpSp>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2619374" y="196877"/>
            <a:ext cx="4422811" cy="638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IN" sz="3200">
                <a:solidFill>
                  <a:schemeClr val="bg1"/>
                </a:solidFill>
                <a:effectLst/>
                <a:latin typeface="Segoe UI Semibold" panose="020B0702040204020203" pitchFamily="34" charset="0"/>
                <a:ea typeface="+mn-ea"/>
                <a:cs typeface="Segoe UI Semibold" panose="020B0702040204020203" pitchFamily="34" charset="0"/>
              </a:rPr>
              <a:t>SKU Calculator</a:t>
            </a:r>
            <a:endParaRPr lang="en-IN" sz="3200">
              <a:solidFill>
                <a:schemeClr val="bg1"/>
              </a:solidFill>
              <a:effectLst/>
              <a:latin typeface="Segoe UI Semibold" panose="020B0702040204020203" pitchFamily="34" charset="0"/>
              <a:cs typeface="Segoe UI Semibold" panose="020B0702040204020203" pitchFamily="34" charset="0"/>
            </a:endParaRPr>
          </a:p>
        </xdr:txBody>
      </xdr:sp>
      <xdr:grpSp>
        <xdr:nvGrpSpPr>
          <xdr:cNvPr id="6" name="Group 5">
            <a:extLst>
              <a:ext uri="{FF2B5EF4-FFF2-40B4-BE49-F238E27FC236}">
                <a16:creationId xmlns:a16="http://schemas.microsoft.com/office/drawing/2014/main" id="{00000000-0008-0000-0200-000006000000}"/>
              </a:ext>
            </a:extLst>
          </xdr:cNvPr>
          <xdr:cNvGrpSpPr/>
        </xdr:nvGrpSpPr>
        <xdr:grpSpPr>
          <a:xfrm>
            <a:off x="0" y="167523"/>
            <a:ext cx="2270125" cy="696829"/>
            <a:chOff x="335" y="174625"/>
            <a:chExt cx="2222165" cy="696829"/>
          </a:xfrm>
        </xdr:grpSpPr>
        <xdr:sp macro="" textlink="">
          <xdr:nvSpPr>
            <xdr:cNvPr id="10" name="Rectangle: Top Corners Rounded 9">
              <a:extLst>
                <a:ext uri="{FF2B5EF4-FFF2-40B4-BE49-F238E27FC236}">
                  <a16:creationId xmlns:a16="http://schemas.microsoft.com/office/drawing/2014/main" id="{00000000-0008-0000-0200-00000A000000}"/>
                </a:ext>
              </a:extLst>
            </xdr:cNvPr>
            <xdr:cNvSpPr/>
          </xdr:nvSpPr>
          <xdr:spPr>
            <a:xfrm rot="5400000">
              <a:off x="763003" y="-588043"/>
              <a:ext cx="696829" cy="2222165"/>
            </a:xfrm>
            <a:prstGeom prst="round2SameRect">
              <a:avLst>
                <a:gd name="adj1" fmla="val 50000"/>
                <a:gd name="adj2" fmla="val 0"/>
              </a:avLst>
            </a:prstGeom>
            <a:solidFill>
              <a:schemeClr val="bg1"/>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IN" sz="1100" dirty="0" err="1">
                <a:solidFill>
                  <a:schemeClr val="tx1"/>
                </a:solidFill>
              </a:endParaRPr>
            </a:p>
          </xdr:txBody>
        </xdr:sp>
        <xdr:pic>
          <xdr:nvPicPr>
            <xdr:cNvPr id="11" name="Picture 10">
              <a:hlinkClick xmlns:r="http://schemas.openxmlformats.org/officeDocument/2006/relationships" r:id="rId2"/>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79675" y="356092"/>
              <a:ext cx="1492666" cy="332525"/>
            </a:xfrm>
            <a:prstGeom prst="rect">
              <a:avLst/>
            </a:prstGeom>
            <a:extLst>
              <a:ext uri="{909E8E84-426E-40DD-AFC4-6F175D3DCCD1}">
                <a14:hiddenFill xmlns:a14="http://schemas.microsoft.com/office/drawing/2010/main">
                  <a:solidFill>
                    <a:srgbClr val="FFFFFF"/>
                  </a:solidFill>
                </a14:hiddenFill>
              </a:ext>
            </a:extLst>
          </xdr:spPr>
        </xdr:pic>
      </xdr:grpSp>
      <xdr:sp macro="" textlink="">
        <xdr:nvSpPr>
          <xdr:cNvPr id="8" name="Rectangle: Rounded Corners 7">
            <a:hlinkClick xmlns:r="http://schemas.openxmlformats.org/officeDocument/2006/relationships" r:id="rId4"/>
            <a:extLst>
              <a:ext uri="{FF2B5EF4-FFF2-40B4-BE49-F238E27FC236}">
                <a16:creationId xmlns:a16="http://schemas.microsoft.com/office/drawing/2014/main" id="{00000000-0008-0000-0200-000008000000}"/>
              </a:ext>
            </a:extLst>
          </xdr:cNvPr>
          <xdr:cNvSpPr/>
        </xdr:nvSpPr>
        <xdr:spPr>
          <a:xfrm>
            <a:off x="18650894" y="269876"/>
            <a:ext cx="1890708" cy="492125"/>
          </a:xfrm>
          <a:prstGeom prst="roundRect">
            <a:avLst>
              <a:gd name="adj" fmla="val 50000"/>
            </a:avLst>
          </a:prstGeom>
          <a:solidFill>
            <a:srgbClr val="00BCF2">
              <a:alpha val="14902"/>
            </a:srgbClr>
          </a:solidFill>
          <a:ln w="9525">
            <a:solidFill>
              <a:schemeClr val="accent1">
                <a:lumMod val="60000"/>
                <a:lumOff val="40000"/>
                <a:alpha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IN" sz="1800">
                <a:solidFill>
                  <a:schemeClr val="lt1"/>
                </a:solidFill>
                <a:effectLst/>
                <a:latin typeface="Segoe UI Semibold" panose="020B0702040204020203" pitchFamily="34" charset="0"/>
                <a:ea typeface="+mn-ea"/>
                <a:cs typeface="Segoe UI Semibold" panose="020B0702040204020203" pitchFamily="34" charset="0"/>
              </a:rPr>
              <a:t>User Inputs</a:t>
            </a:r>
            <a:endParaRPr lang="en-IN" sz="1800">
              <a:effectLst/>
              <a:latin typeface="Segoe UI Semibold" panose="020B0702040204020203" pitchFamily="34" charset="0"/>
              <a:cs typeface="Segoe UI Semibold" panose="020B0702040204020203" pitchFamily="34" charset="0"/>
            </a:endParaRPr>
          </a:p>
        </xdr:txBody>
      </xdr:sp>
    </xdr:grpSp>
    <xdr:clientData/>
  </xdr:twoCellAnchor>
  <mc:AlternateContent xmlns:mc="http://schemas.openxmlformats.org/markup-compatibility/2006">
    <mc:Choice xmlns:a14="http://schemas.microsoft.com/office/drawing/2010/main" Requires="a14">
      <xdr:twoCellAnchor editAs="oneCell">
        <xdr:from>
          <xdr:col>6</xdr:col>
          <xdr:colOff>944880</xdr:colOff>
          <xdr:row>5</xdr:row>
          <xdr:rowOff>60960</xdr:rowOff>
        </xdr:from>
        <xdr:to>
          <xdr:col>6</xdr:col>
          <xdr:colOff>1150620</xdr:colOff>
          <xdr:row>5</xdr:row>
          <xdr:rowOff>228600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0200-000004140100}"/>
                </a:ext>
              </a:extLst>
            </xdr:cNvPr>
            <xdr:cNvSpPr/>
          </xdr:nvSpPr>
          <xdr:spPr bwMode="auto">
            <a:xfrm>
              <a:off x="0" y="0"/>
              <a:ext cx="0" cy="0"/>
            </a:xfrm>
            <a:prstGeom prst="rect">
              <a:avLst/>
            </a:prstGeom>
            <a:solidFill>
              <a:srgbClr val="2A415D"/>
            </a:solidFill>
            <a:ln w="9525">
              <a:solidFill>
                <a:srgbClr val="2A415D"/>
              </a:solidFill>
              <a:miter lim="800000"/>
              <a:headEnd/>
              <a:tailEnd/>
            </a:ln>
          </xdr:spPr>
        </xdr:sp>
        <xdr:clientData/>
      </xdr:twoCellAnchor>
    </mc:Choice>
    <mc:Fallback/>
  </mc:AlternateContent>
  <xdr:twoCellAnchor>
    <xdr:from>
      <xdr:col>0</xdr:col>
      <xdr:colOff>96092</xdr:colOff>
      <xdr:row>42</xdr:row>
      <xdr:rowOff>76200</xdr:rowOff>
    </xdr:from>
    <xdr:to>
      <xdr:col>1</xdr:col>
      <xdr:colOff>2512218</xdr:colOff>
      <xdr:row>43</xdr:row>
      <xdr:rowOff>88863</xdr:rowOff>
    </xdr:to>
    <xdr:grpSp>
      <xdr:nvGrpSpPr>
        <xdr:cNvPr id="23" name="Group 22">
          <a:extLst>
            <a:ext uri="{FF2B5EF4-FFF2-40B4-BE49-F238E27FC236}">
              <a16:creationId xmlns:a16="http://schemas.microsoft.com/office/drawing/2014/main" id="{00000000-0008-0000-0200-000017000000}"/>
            </a:ext>
          </a:extLst>
        </xdr:cNvPr>
        <xdr:cNvGrpSpPr/>
      </xdr:nvGrpSpPr>
      <xdr:grpSpPr>
        <a:xfrm>
          <a:off x="96092" y="8988287"/>
          <a:ext cx="2548648" cy="224698"/>
          <a:chOff x="4671269" y="9271000"/>
          <a:chExt cx="3477139" cy="431800"/>
        </a:xfrm>
      </xdr:grpSpPr>
      <xdr:sp macro="" textlink="">
        <xdr:nvSpPr>
          <xdr:cNvPr id="20" name="Rectangle 19">
            <a:extLst>
              <a:ext uri="{FF2B5EF4-FFF2-40B4-BE49-F238E27FC236}">
                <a16:creationId xmlns:a16="http://schemas.microsoft.com/office/drawing/2014/main" id="{00000000-0008-0000-0200-000014000000}"/>
              </a:ext>
            </a:extLst>
          </xdr:cNvPr>
          <xdr:cNvSpPr/>
        </xdr:nvSpPr>
        <xdr:spPr>
          <a:xfrm>
            <a:off x="4699000" y="9271000"/>
            <a:ext cx="3449408" cy="398649"/>
          </a:xfrm>
          <a:prstGeom prst="rect">
            <a:avLst/>
          </a:prstGeom>
          <a:solidFill>
            <a:srgbClr val="C0E6F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0">
                <a:solidFill>
                  <a:schemeClr val="accent1">
                    <a:lumMod val="50000"/>
                  </a:schemeClr>
                </a:solidFill>
                <a:latin typeface="Segoe UI Semibold" panose="020B0702040204020203" pitchFamily="34" charset="0"/>
                <a:cs typeface="Segoe UI Semibold" panose="020B0702040204020203" pitchFamily="34" charset="0"/>
              </a:rPr>
              <a:t>      Utilization % &gt; =</a:t>
            </a:r>
            <a:r>
              <a:rPr lang="en-IN" sz="1200" b="0" baseline="0">
                <a:solidFill>
                  <a:schemeClr val="accent1">
                    <a:lumMod val="50000"/>
                  </a:schemeClr>
                </a:solidFill>
                <a:latin typeface="Segoe UI Semibold" panose="020B0702040204020203" pitchFamily="34" charset="0"/>
                <a:cs typeface="Segoe UI Semibold" panose="020B0702040204020203" pitchFamily="34" charset="0"/>
              </a:rPr>
              <a:t> Threshold %</a:t>
            </a:r>
            <a:endParaRPr lang="en-IN" sz="1200" b="0">
              <a:solidFill>
                <a:schemeClr val="accent1">
                  <a:lumMod val="50000"/>
                </a:schemeClr>
              </a:solidFill>
              <a:latin typeface="Segoe UI Semibold" panose="020B0702040204020203" pitchFamily="34" charset="0"/>
              <a:cs typeface="Segoe UI Semibold" panose="020B0702040204020203" pitchFamily="34" charset="0"/>
            </a:endParaRPr>
          </a:p>
        </xdr:txBody>
      </xdr:sp>
      <xdr:pic>
        <xdr:nvPicPr>
          <xdr:cNvPr id="14" name="Graphic 13" descr="Flag1 with solid fill">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671269" y="9271000"/>
            <a:ext cx="431800" cy="431800"/>
          </a:xfrm>
          <a:prstGeom prst="rect">
            <a:avLst/>
          </a:prstGeom>
        </xdr:spPr>
      </xdr:pic>
    </xdr:grpSp>
    <xdr:clientData/>
  </xdr:twoCellAnchor>
  <xdr:twoCellAnchor>
    <xdr:from>
      <xdr:col>1</xdr:col>
      <xdr:colOff>2567350</xdr:colOff>
      <xdr:row>42</xdr:row>
      <xdr:rowOff>64294</xdr:rowOff>
    </xdr:from>
    <xdr:to>
      <xdr:col>5</xdr:col>
      <xdr:colOff>29862</xdr:colOff>
      <xdr:row>43</xdr:row>
      <xdr:rowOff>76957</xdr:rowOff>
    </xdr:to>
    <xdr:grpSp>
      <xdr:nvGrpSpPr>
        <xdr:cNvPr id="24" name="Group 23">
          <a:extLst>
            <a:ext uri="{FF2B5EF4-FFF2-40B4-BE49-F238E27FC236}">
              <a16:creationId xmlns:a16="http://schemas.microsoft.com/office/drawing/2014/main" id="{00000000-0008-0000-0200-000018000000}"/>
            </a:ext>
          </a:extLst>
        </xdr:cNvPr>
        <xdr:cNvGrpSpPr/>
      </xdr:nvGrpSpPr>
      <xdr:grpSpPr>
        <a:xfrm>
          <a:off x="2699872" y="8976381"/>
          <a:ext cx="2836268" cy="224698"/>
          <a:chOff x="4660915" y="9728200"/>
          <a:chExt cx="3733785" cy="431800"/>
        </a:xfrm>
      </xdr:grpSpPr>
      <xdr:sp macro="" textlink="">
        <xdr:nvSpPr>
          <xdr:cNvPr id="21" name="Rectangle 20">
            <a:extLst>
              <a:ext uri="{FF2B5EF4-FFF2-40B4-BE49-F238E27FC236}">
                <a16:creationId xmlns:a16="http://schemas.microsoft.com/office/drawing/2014/main" id="{00000000-0008-0000-0200-000015000000}"/>
              </a:ext>
            </a:extLst>
          </xdr:cNvPr>
          <xdr:cNvSpPr/>
        </xdr:nvSpPr>
        <xdr:spPr>
          <a:xfrm>
            <a:off x="4699000" y="9732904"/>
            <a:ext cx="3695700" cy="419100"/>
          </a:xfrm>
          <a:prstGeom prst="rect">
            <a:avLst/>
          </a:prstGeom>
          <a:solidFill>
            <a:srgbClr val="C0E6F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r"/>
            <a:r>
              <a:rPr lang="en-IN" sz="1200" b="0">
                <a:solidFill>
                  <a:schemeClr val="accent1">
                    <a:lumMod val="50000"/>
                  </a:schemeClr>
                </a:solidFill>
                <a:latin typeface="Segoe UI Semibold" panose="020B0702040204020203" pitchFamily="34" charset="0"/>
                <a:cs typeface="Segoe UI Semibold" panose="020B0702040204020203" pitchFamily="34" charset="0"/>
              </a:rPr>
              <a:t>50% </a:t>
            </a:r>
            <a:r>
              <a:rPr lang="en-IN" sz="1200" b="0" baseline="0">
                <a:solidFill>
                  <a:schemeClr val="accent1">
                    <a:lumMod val="50000"/>
                  </a:schemeClr>
                </a:solidFill>
                <a:latin typeface="Segoe UI Semibold" panose="020B0702040204020203" pitchFamily="34" charset="0"/>
                <a:cs typeface="Segoe UI Semibold" panose="020B0702040204020203" pitchFamily="34" charset="0"/>
              </a:rPr>
              <a:t>&lt; Utilzation% &lt; Threshold%</a:t>
            </a:r>
            <a:endParaRPr lang="en-IN" sz="1200" b="0">
              <a:solidFill>
                <a:schemeClr val="accent1">
                  <a:lumMod val="50000"/>
                </a:schemeClr>
              </a:solidFill>
              <a:latin typeface="Segoe UI Semibold" panose="020B0702040204020203" pitchFamily="34" charset="0"/>
              <a:cs typeface="Segoe UI Semibold" panose="020B0702040204020203" pitchFamily="34" charset="0"/>
            </a:endParaRPr>
          </a:p>
        </xdr:txBody>
      </xdr:sp>
      <xdr:pic>
        <xdr:nvPicPr>
          <xdr:cNvPr id="17" name="Graphic 16" descr="Flag1 with solid fill">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4660915" y="9728200"/>
            <a:ext cx="428801" cy="431800"/>
          </a:xfrm>
          <a:prstGeom prst="rect">
            <a:avLst/>
          </a:prstGeom>
        </xdr:spPr>
      </xdr:pic>
    </xdr:grpSp>
    <xdr:clientData/>
  </xdr:twoCellAnchor>
  <xdr:twoCellAnchor>
    <xdr:from>
      <xdr:col>5</xdr:col>
      <xdr:colOff>123828</xdr:colOff>
      <xdr:row>42</xdr:row>
      <xdr:rowOff>63538</xdr:rowOff>
    </xdr:from>
    <xdr:to>
      <xdr:col>6</xdr:col>
      <xdr:colOff>1107279</xdr:colOff>
      <xdr:row>43</xdr:row>
      <xdr:rowOff>71438</xdr:rowOff>
    </xdr:to>
    <xdr:grpSp>
      <xdr:nvGrpSpPr>
        <xdr:cNvPr id="25" name="Group 24">
          <a:extLst>
            <a:ext uri="{FF2B5EF4-FFF2-40B4-BE49-F238E27FC236}">
              <a16:creationId xmlns:a16="http://schemas.microsoft.com/office/drawing/2014/main" id="{00000000-0008-0000-0200-000019000000}"/>
            </a:ext>
          </a:extLst>
        </xdr:cNvPr>
        <xdr:cNvGrpSpPr/>
      </xdr:nvGrpSpPr>
      <xdr:grpSpPr>
        <a:xfrm>
          <a:off x="5630106" y="8975625"/>
          <a:ext cx="2109886" cy="219935"/>
          <a:chOff x="4699000" y="10198100"/>
          <a:chExt cx="4392603" cy="458830"/>
        </a:xfrm>
      </xdr:grpSpPr>
      <xdr:sp macro="" textlink="">
        <xdr:nvSpPr>
          <xdr:cNvPr id="22" name="Rectangle 21">
            <a:extLst>
              <a:ext uri="{FF2B5EF4-FFF2-40B4-BE49-F238E27FC236}">
                <a16:creationId xmlns:a16="http://schemas.microsoft.com/office/drawing/2014/main" id="{00000000-0008-0000-0200-000016000000}"/>
              </a:ext>
            </a:extLst>
          </xdr:cNvPr>
          <xdr:cNvSpPr/>
        </xdr:nvSpPr>
        <xdr:spPr>
          <a:xfrm>
            <a:off x="4699000" y="10210755"/>
            <a:ext cx="4392603" cy="446175"/>
          </a:xfrm>
          <a:prstGeom prst="rect">
            <a:avLst/>
          </a:prstGeom>
          <a:solidFill>
            <a:srgbClr val="C0E6F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0">
                <a:solidFill>
                  <a:schemeClr val="accent1">
                    <a:lumMod val="50000"/>
                  </a:schemeClr>
                </a:solidFill>
                <a:latin typeface="Segoe UI Semibold" panose="020B0702040204020203" pitchFamily="34" charset="0"/>
                <a:cs typeface="Segoe UI Semibold" panose="020B0702040204020203" pitchFamily="34" charset="0"/>
              </a:rPr>
              <a:t>     Utilization &lt; 50%</a:t>
            </a:r>
          </a:p>
        </xdr:txBody>
      </xdr:sp>
      <xdr:pic>
        <xdr:nvPicPr>
          <xdr:cNvPr id="18" name="Graphic 17" descr="Flag1 with solid fill">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4826000" y="10198100"/>
            <a:ext cx="431800" cy="43180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10584</xdr:colOff>
      <xdr:row>392</xdr:row>
      <xdr:rowOff>9524</xdr:rowOff>
    </xdr:from>
    <xdr:to>
      <xdr:col>14</xdr:col>
      <xdr:colOff>0</xdr:colOff>
      <xdr:row>411</xdr:row>
      <xdr:rowOff>127000</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24607</xdr:colOff>
      <xdr:row>361</xdr:row>
      <xdr:rowOff>11906</xdr:rowOff>
    </xdr:from>
    <xdr:to>
      <xdr:col>18</xdr:col>
      <xdr:colOff>192695</xdr:colOff>
      <xdr:row>361</xdr:row>
      <xdr:rowOff>179994</xdr:rowOff>
    </xdr:to>
    <xdr:sp macro="" textlink="">
      <xdr:nvSpPr>
        <xdr:cNvPr id="5" name="DataModel_DW">
          <a:extLst>
            <a:ext uri="{FF2B5EF4-FFF2-40B4-BE49-F238E27FC236}">
              <a16:creationId xmlns:a16="http://schemas.microsoft.com/office/drawing/2014/main" id="{00000000-0008-0000-0300-000005000000}"/>
            </a:ext>
          </a:extLst>
        </xdr:cNvPr>
        <xdr:cNvSpPr/>
      </xdr:nvSpPr>
      <xdr:spPr>
        <a:xfrm>
          <a:off x="21824951" y="68270437"/>
          <a:ext cx="168088" cy="168088"/>
        </a:xfrm>
        <a:prstGeom prst="rect">
          <a:avLst/>
        </a:prstGeom>
        <a:solidFill>
          <a:srgbClr val="FF6600"/>
        </a:solidFill>
        <a:ln>
          <a:noFill/>
        </a:ln>
        <a:effectLst/>
        <a:scene3d>
          <a:camera prst="orthographicFront">
            <a:rot lat="0" lon="0" rev="0"/>
          </a:camera>
          <a:lightRig rig="glow" dir="t">
            <a:rot lat="0" lon="0" rev="4800000"/>
          </a:lightRig>
        </a:scene3d>
        <a:sp3d prstMaterial="matte">
          <a:bevelT w="127000" h="63500"/>
        </a:sp3d>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marL="0" indent="0" algn="l"/>
          <a:endParaRPr lang="en-IN" sz="1100">
            <a:solidFill>
              <a:schemeClr val="lt1"/>
            </a:solidFill>
            <a:latin typeface="+mn-lt"/>
            <a:ea typeface="+mn-ea"/>
            <a:cs typeface="+mn-cs"/>
          </a:endParaRPr>
        </a:p>
      </xdr:txBody>
    </xdr:sp>
    <xdr:clientData/>
  </xdr:twoCellAnchor>
  <xdr:twoCellAnchor>
    <xdr:from>
      <xdr:col>18</xdr:col>
      <xdr:colOff>33337</xdr:colOff>
      <xdr:row>362</xdr:row>
      <xdr:rowOff>13228</xdr:rowOff>
    </xdr:from>
    <xdr:to>
      <xdr:col>18</xdr:col>
      <xdr:colOff>201425</xdr:colOff>
      <xdr:row>362</xdr:row>
      <xdr:rowOff>181316</xdr:rowOff>
    </xdr:to>
    <xdr:sp macro="" textlink="">
      <xdr:nvSpPr>
        <xdr:cNvPr id="6" name="DataModel_LH">
          <a:extLst>
            <a:ext uri="{FF2B5EF4-FFF2-40B4-BE49-F238E27FC236}">
              <a16:creationId xmlns:a16="http://schemas.microsoft.com/office/drawing/2014/main" id="{00000000-0008-0000-0300-000006000000}"/>
            </a:ext>
          </a:extLst>
        </xdr:cNvPr>
        <xdr:cNvSpPr/>
      </xdr:nvSpPr>
      <xdr:spPr>
        <a:xfrm>
          <a:off x="21833681" y="68474166"/>
          <a:ext cx="168088" cy="168088"/>
        </a:xfrm>
        <a:prstGeom prst="rect">
          <a:avLst/>
        </a:prstGeom>
        <a:ln>
          <a:noFill/>
        </a:ln>
        <a:effectLst/>
        <a:scene3d>
          <a:camera prst="orthographicFront">
            <a:rot lat="0" lon="0" rev="0"/>
          </a:camera>
          <a:lightRig rig="glow" dir="t">
            <a:rot lat="0" lon="0" rev="4800000"/>
          </a:lightRig>
        </a:scene3d>
        <a:sp3d prstMaterial="matte">
          <a:bevelT w="127000" h="63500"/>
        </a:sp3d>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IN" sz="1100"/>
        </a:p>
      </xdr:txBody>
    </xdr:sp>
    <xdr:clientData/>
  </xdr:twoCellAnchor>
  <xdr:twoCellAnchor>
    <xdr:from>
      <xdr:col>18</xdr:col>
      <xdr:colOff>34925</xdr:colOff>
      <xdr:row>363</xdr:row>
      <xdr:rowOff>14551</xdr:rowOff>
    </xdr:from>
    <xdr:to>
      <xdr:col>18</xdr:col>
      <xdr:colOff>203013</xdr:colOff>
      <xdr:row>363</xdr:row>
      <xdr:rowOff>182639</xdr:rowOff>
    </xdr:to>
    <xdr:sp macro="" textlink="">
      <xdr:nvSpPr>
        <xdr:cNvPr id="7" name="DE_ADF">
          <a:extLst>
            <a:ext uri="{FF2B5EF4-FFF2-40B4-BE49-F238E27FC236}">
              <a16:creationId xmlns:a16="http://schemas.microsoft.com/office/drawing/2014/main" id="{00000000-0008-0000-0300-000007000000}"/>
            </a:ext>
          </a:extLst>
        </xdr:cNvPr>
        <xdr:cNvSpPr/>
      </xdr:nvSpPr>
      <xdr:spPr>
        <a:xfrm>
          <a:off x="21835269" y="68677895"/>
          <a:ext cx="168088" cy="168088"/>
        </a:xfrm>
        <a:prstGeom prst="rect">
          <a:avLst/>
        </a:prstGeom>
        <a:ln>
          <a:noFill/>
        </a:ln>
        <a:effectLst/>
        <a:scene3d>
          <a:camera prst="orthographicFront">
            <a:rot lat="0" lon="0" rev="0"/>
          </a:camera>
          <a:lightRig rig="glow" dir="t">
            <a:rot lat="0" lon="0" rev="4800000"/>
          </a:lightRig>
        </a:scene3d>
        <a:sp3d prstMaterial="matte">
          <a:bevelT w="127000" h="63500"/>
        </a:sp3d>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IN" sz="1100"/>
        </a:p>
      </xdr:txBody>
    </xdr:sp>
    <xdr:clientData/>
  </xdr:twoCellAnchor>
  <xdr:twoCellAnchor>
    <xdr:from>
      <xdr:col>18</xdr:col>
      <xdr:colOff>38101</xdr:colOff>
      <xdr:row>364</xdr:row>
      <xdr:rowOff>15874</xdr:rowOff>
    </xdr:from>
    <xdr:to>
      <xdr:col>18</xdr:col>
      <xdr:colOff>206189</xdr:colOff>
      <xdr:row>364</xdr:row>
      <xdr:rowOff>183962</xdr:rowOff>
    </xdr:to>
    <xdr:sp macro="" textlink="">
      <xdr:nvSpPr>
        <xdr:cNvPr id="8" name="DE_Spark">
          <a:extLst>
            <a:ext uri="{FF2B5EF4-FFF2-40B4-BE49-F238E27FC236}">
              <a16:creationId xmlns:a16="http://schemas.microsoft.com/office/drawing/2014/main" id="{00000000-0008-0000-0300-000008000000}"/>
            </a:ext>
          </a:extLst>
        </xdr:cNvPr>
        <xdr:cNvSpPr/>
      </xdr:nvSpPr>
      <xdr:spPr>
        <a:xfrm>
          <a:off x="21838445" y="68881624"/>
          <a:ext cx="168088" cy="168088"/>
        </a:xfrm>
        <a:prstGeom prst="rect">
          <a:avLst/>
        </a:prstGeom>
        <a:ln>
          <a:noFill/>
        </a:ln>
        <a:effectLst/>
        <a:scene3d>
          <a:camera prst="orthographicFront">
            <a:rot lat="0" lon="0" rev="0"/>
          </a:camera>
          <a:lightRig rig="glow" dir="t">
            <a:rot lat="0" lon="0" rev="4800000"/>
          </a:lightRig>
        </a:scene3d>
        <a:sp3d prstMaterial="matte">
          <a:bevelT w="127000" h="63500"/>
        </a:sp3d>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IN" sz="1100"/>
        </a:p>
      </xdr:txBody>
    </xdr:sp>
    <xdr:clientData/>
  </xdr:twoCellAnchor>
  <xdr:twoCellAnchor>
    <xdr:from>
      <xdr:col>18</xdr:col>
      <xdr:colOff>39689</xdr:colOff>
      <xdr:row>365</xdr:row>
      <xdr:rowOff>17197</xdr:rowOff>
    </xdr:from>
    <xdr:to>
      <xdr:col>18</xdr:col>
      <xdr:colOff>207777</xdr:colOff>
      <xdr:row>365</xdr:row>
      <xdr:rowOff>185285</xdr:rowOff>
    </xdr:to>
    <xdr:sp macro="" textlink="">
      <xdr:nvSpPr>
        <xdr:cNvPr id="9" name="PBI">
          <a:extLst>
            <a:ext uri="{FF2B5EF4-FFF2-40B4-BE49-F238E27FC236}">
              <a16:creationId xmlns:a16="http://schemas.microsoft.com/office/drawing/2014/main" id="{00000000-0008-0000-0300-000009000000}"/>
            </a:ext>
          </a:extLst>
        </xdr:cNvPr>
        <xdr:cNvSpPr/>
      </xdr:nvSpPr>
      <xdr:spPr>
        <a:xfrm>
          <a:off x="21840033" y="69085353"/>
          <a:ext cx="168088" cy="168088"/>
        </a:xfrm>
        <a:prstGeom prst="rect">
          <a:avLst/>
        </a:prstGeom>
        <a:ln>
          <a:noFill/>
        </a:ln>
        <a:effectLst/>
        <a:scene3d>
          <a:camera prst="orthographicFront">
            <a:rot lat="0" lon="0" rev="0"/>
          </a:camera>
          <a:lightRig rig="glow" dir="t">
            <a:rot lat="0" lon="0" rev="4800000"/>
          </a:lightRig>
        </a:scene3d>
        <a:sp3d prstMaterial="matte">
          <a:bevelT w="127000" h="63500"/>
        </a:sp3d>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IN" sz="1100"/>
        </a:p>
      </xdr:txBody>
    </xdr:sp>
    <xdr:clientData/>
  </xdr:twoCellAnchor>
  <xdr:twoCellAnchor>
    <xdr:from>
      <xdr:col>18</xdr:col>
      <xdr:colOff>41277</xdr:colOff>
      <xdr:row>367</xdr:row>
      <xdr:rowOff>18519</xdr:rowOff>
    </xdr:from>
    <xdr:to>
      <xdr:col>18</xdr:col>
      <xdr:colOff>209365</xdr:colOff>
      <xdr:row>367</xdr:row>
      <xdr:rowOff>186607</xdr:rowOff>
    </xdr:to>
    <xdr:sp macro="" textlink="">
      <xdr:nvSpPr>
        <xdr:cNvPr id="10" name="Adhoc_LH">
          <a:extLst>
            <a:ext uri="{FF2B5EF4-FFF2-40B4-BE49-F238E27FC236}">
              <a16:creationId xmlns:a16="http://schemas.microsoft.com/office/drawing/2014/main" id="{00000000-0008-0000-0300-00000A000000}"/>
            </a:ext>
          </a:extLst>
        </xdr:cNvPr>
        <xdr:cNvSpPr/>
      </xdr:nvSpPr>
      <xdr:spPr>
        <a:xfrm>
          <a:off x="21841621" y="69289082"/>
          <a:ext cx="168088" cy="168088"/>
        </a:xfrm>
        <a:prstGeom prst="rect">
          <a:avLst/>
        </a:prstGeom>
        <a:ln>
          <a:noFill/>
        </a:ln>
        <a:effectLst/>
        <a:scene3d>
          <a:camera prst="orthographicFront">
            <a:rot lat="0" lon="0" rev="0"/>
          </a:camera>
          <a:lightRig rig="glow" dir="t">
            <a:rot lat="0" lon="0" rev="4800000"/>
          </a:lightRig>
        </a:scene3d>
        <a:sp3d prstMaterial="matte">
          <a:bevelT w="127000" h="63500"/>
        </a:sp3d>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IN" sz="1100"/>
        </a:p>
      </xdr:txBody>
    </xdr:sp>
    <xdr:clientData/>
  </xdr:twoCellAnchor>
  <xdr:twoCellAnchor>
    <xdr:from>
      <xdr:col>18</xdr:col>
      <xdr:colOff>42865</xdr:colOff>
      <xdr:row>368</xdr:row>
      <xdr:rowOff>19842</xdr:rowOff>
    </xdr:from>
    <xdr:to>
      <xdr:col>18</xdr:col>
      <xdr:colOff>210953</xdr:colOff>
      <xdr:row>368</xdr:row>
      <xdr:rowOff>187930</xdr:rowOff>
    </xdr:to>
    <xdr:sp macro="" textlink="">
      <xdr:nvSpPr>
        <xdr:cNvPr id="11" name="DS">
          <a:extLst>
            <a:ext uri="{FF2B5EF4-FFF2-40B4-BE49-F238E27FC236}">
              <a16:creationId xmlns:a16="http://schemas.microsoft.com/office/drawing/2014/main" id="{00000000-0008-0000-0300-00000B000000}"/>
            </a:ext>
          </a:extLst>
        </xdr:cNvPr>
        <xdr:cNvSpPr/>
      </xdr:nvSpPr>
      <xdr:spPr>
        <a:xfrm>
          <a:off x="21843209" y="69492811"/>
          <a:ext cx="168088" cy="168088"/>
        </a:xfrm>
        <a:prstGeom prst="rect">
          <a:avLst/>
        </a:prstGeom>
        <a:ln>
          <a:noFill/>
        </a:ln>
        <a:effectLst/>
        <a:scene3d>
          <a:camera prst="orthographicFront">
            <a:rot lat="0" lon="0" rev="0"/>
          </a:camera>
          <a:lightRig rig="glow" dir="t">
            <a:rot lat="0" lon="0" rev="4800000"/>
          </a:lightRig>
        </a:scene3d>
        <a:sp3d prstMaterial="matte">
          <a:bevelT w="127000" h="63500"/>
        </a:sp3d>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IN" sz="1100"/>
        </a:p>
      </xdr:txBody>
    </xdr:sp>
    <xdr:clientData/>
  </xdr:twoCellAnchor>
  <xdr:twoCellAnchor>
    <xdr:from>
      <xdr:col>18</xdr:col>
      <xdr:colOff>44453</xdr:colOff>
      <xdr:row>369</xdr:row>
      <xdr:rowOff>21165</xdr:rowOff>
    </xdr:from>
    <xdr:to>
      <xdr:col>18</xdr:col>
      <xdr:colOff>212541</xdr:colOff>
      <xdr:row>369</xdr:row>
      <xdr:rowOff>189253</xdr:rowOff>
    </xdr:to>
    <xdr:sp macro="" textlink="">
      <xdr:nvSpPr>
        <xdr:cNvPr id="12" name="Explorer_ES">
          <a:extLst>
            <a:ext uri="{FF2B5EF4-FFF2-40B4-BE49-F238E27FC236}">
              <a16:creationId xmlns:a16="http://schemas.microsoft.com/office/drawing/2014/main" id="{00000000-0008-0000-0300-00000C000000}"/>
            </a:ext>
          </a:extLst>
        </xdr:cNvPr>
        <xdr:cNvSpPr/>
      </xdr:nvSpPr>
      <xdr:spPr>
        <a:xfrm>
          <a:off x="21844797" y="69696540"/>
          <a:ext cx="168088" cy="168088"/>
        </a:xfrm>
        <a:prstGeom prst="rect">
          <a:avLst/>
        </a:prstGeom>
        <a:ln>
          <a:noFill/>
        </a:ln>
        <a:effectLst/>
        <a:scene3d>
          <a:camera prst="orthographicFront">
            <a:rot lat="0" lon="0" rev="0"/>
          </a:camera>
          <a:lightRig rig="glow" dir="t">
            <a:rot lat="0" lon="0" rev="4800000"/>
          </a:lightRig>
        </a:scene3d>
        <a:sp3d prstMaterial="matte">
          <a:bevelT w="127000" h="63500"/>
        </a:sp3d>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IN" sz="1100"/>
        </a:p>
      </xdr:txBody>
    </xdr:sp>
    <xdr:clientData/>
  </xdr:twoCellAnchor>
  <xdr:twoCellAnchor>
    <xdr:from>
      <xdr:col>18</xdr:col>
      <xdr:colOff>46041</xdr:colOff>
      <xdr:row>370</xdr:row>
      <xdr:rowOff>22488</xdr:rowOff>
    </xdr:from>
    <xdr:to>
      <xdr:col>18</xdr:col>
      <xdr:colOff>214129</xdr:colOff>
      <xdr:row>370</xdr:row>
      <xdr:rowOff>190576</xdr:rowOff>
    </xdr:to>
    <xdr:sp macro="" textlink="">
      <xdr:nvSpPr>
        <xdr:cNvPr id="13" name="Explorer_DA">
          <a:extLst>
            <a:ext uri="{FF2B5EF4-FFF2-40B4-BE49-F238E27FC236}">
              <a16:creationId xmlns:a16="http://schemas.microsoft.com/office/drawing/2014/main" id="{00000000-0008-0000-0300-00000D000000}"/>
            </a:ext>
          </a:extLst>
        </xdr:cNvPr>
        <xdr:cNvSpPr/>
      </xdr:nvSpPr>
      <xdr:spPr>
        <a:xfrm>
          <a:off x="21846385" y="69900269"/>
          <a:ext cx="168088" cy="168088"/>
        </a:xfrm>
        <a:prstGeom prst="rect">
          <a:avLst/>
        </a:prstGeom>
        <a:ln>
          <a:noFill/>
        </a:ln>
        <a:effectLst/>
        <a:scene3d>
          <a:camera prst="orthographicFront">
            <a:rot lat="0" lon="0" rev="0"/>
          </a:camera>
          <a:lightRig rig="glow" dir="t">
            <a:rot lat="0" lon="0" rev="4800000"/>
          </a:lightRig>
        </a:scene3d>
        <a:sp3d prstMaterial="matte">
          <a:bevelT w="127000" h="63500"/>
        </a:sp3d>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IN" sz="1100"/>
        </a:p>
      </xdr:txBody>
    </xdr:sp>
    <xdr:clientData/>
  </xdr:twoCellAnchor>
  <xdr:twoCellAnchor>
    <xdr:from>
      <xdr:col>18</xdr:col>
      <xdr:colOff>47625</xdr:colOff>
      <xdr:row>371</xdr:row>
      <xdr:rowOff>23812</xdr:rowOff>
    </xdr:from>
    <xdr:to>
      <xdr:col>18</xdr:col>
      <xdr:colOff>215713</xdr:colOff>
      <xdr:row>371</xdr:row>
      <xdr:rowOff>191900</xdr:rowOff>
    </xdr:to>
    <xdr:sp macro="" textlink="">
      <xdr:nvSpPr>
        <xdr:cNvPr id="14" name="Explorer_KQL">
          <a:extLst>
            <a:ext uri="{FF2B5EF4-FFF2-40B4-BE49-F238E27FC236}">
              <a16:creationId xmlns:a16="http://schemas.microsoft.com/office/drawing/2014/main" id="{00000000-0008-0000-0300-00000E000000}"/>
            </a:ext>
          </a:extLst>
        </xdr:cNvPr>
        <xdr:cNvSpPr/>
      </xdr:nvSpPr>
      <xdr:spPr>
        <a:xfrm>
          <a:off x="21847969" y="70104000"/>
          <a:ext cx="168088" cy="168088"/>
        </a:xfrm>
        <a:prstGeom prst="rect">
          <a:avLst/>
        </a:prstGeom>
        <a:ln>
          <a:noFill/>
        </a:ln>
        <a:effectLst/>
        <a:scene3d>
          <a:camera prst="orthographicFront">
            <a:rot lat="0" lon="0" rev="0"/>
          </a:camera>
          <a:lightRig rig="glow" dir="t">
            <a:rot lat="0" lon="0" rev="4800000"/>
          </a:lightRig>
        </a:scene3d>
        <a:sp3d prstMaterial="matte">
          <a:bevelT w="127000" h="63500"/>
        </a:sp3d>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IN"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B5E3FE8-E1F3-4B14-B1FA-CDC3C4686A9B}" name="Table1" displayName="Table1" ref="K2:Q11" totalsRowShown="0" headerRowDxfId="26" dataDxfId="25">
  <autoFilter ref="K2:Q11" xr:uid="{BB5E3FE8-E1F3-4B14-B1FA-CDC3C4686A9B}"/>
  <tableColumns count="7">
    <tableColumn id="1" xr3:uid="{D17E8EC7-8847-4A12-A10D-FE3A36C4650D}" name="Data Source" dataDxfId="24"/>
    <tableColumn id="2" xr3:uid="{5FFCCE80-BBD6-40B3-AEFE-3D59C6AE1C92}" name="% of Sources" dataDxfId="23"/>
    <tableColumn id="3" xr3:uid="{3F9807F7-7DDE-4975-A5A4-AE46D8018159}" name="# or Sources" dataDxfId="22">
      <calculatedColumnFormula>$G$6*Table1[[#This Row],[% of Sources]]</calculatedColumnFormula>
    </tableColumn>
    <tableColumn id="4" xr3:uid="{FA140082-8ECB-4039-B9F9-7C02082B96A0}" name="Ingestion Rate" dataDxfId="21"/>
    <tableColumn id="5" xr3:uid="{90C71804-31B1-4CE2-B9C5-5887250CEAE4}" name="AVG Rate" dataDxfId="20">
      <calculatedColumnFormula>M3*N3</calculatedColumnFormula>
    </tableColumn>
    <tableColumn id="6" xr3:uid="{E3A962E5-BC0F-4523-86E3-4B93C16B2C4F}" name="Compression Factor" dataDxfId="19"/>
    <tableColumn id="7" xr3:uid="{1D6E66C3-4342-4176-867E-15B2F7341361}" name="Average Factor" dataDxfId="18">
      <calculatedColumnFormula>M3*P3</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484F883-5230-4C75-8B42-FB85759EDF5A}" name="Table13" displayName="Table13" ref="K2:Q11" totalsRowShown="0" headerRowDxfId="17" dataDxfId="16">
  <autoFilter ref="K2:Q11" xr:uid="{BB5E3FE8-E1F3-4B14-B1FA-CDC3C4686A9B}"/>
  <tableColumns count="7">
    <tableColumn id="1" xr3:uid="{746F81AB-14B5-4CD0-88D7-EF9D6D52CB4D}" name="Data Source" dataDxfId="15"/>
    <tableColumn id="2" xr3:uid="{152F57E7-7E1A-429F-8BDC-A1CB375CB117}" name="% of Sources" dataDxfId="14"/>
    <tableColumn id="3" xr3:uid="{F99A9F11-0366-49B1-AF04-2C8D75312D6A}" name="# or Sources" dataDxfId="13">
      <calculatedColumnFormula>$G$6*Table13[[#This Row],[% of Sources]]</calculatedColumnFormula>
    </tableColumn>
    <tableColumn id="4" xr3:uid="{DAED4AD0-DC9A-4816-898A-EA171996C700}" name="Ingestion Rate" dataDxfId="12"/>
    <tableColumn id="5" xr3:uid="{272C63E6-61DF-40DE-8EA7-E47CC220C29F}" name="AVG Rate" dataDxfId="11">
      <calculatedColumnFormula>M3*N3</calculatedColumnFormula>
    </tableColumn>
    <tableColumn id="6" xr3:uid="{423F3219-7F34-4A4C-93D5-EFD2D8B8A642}" name="Compression Factor" dataDxfId="10"/>
    <tableColumn id="7" xr3:uid="{FC401CE3-4229-4C1A-8864-82A8E4CA599E}" name="Average Factor" dataDxfId="9">
      <calculatedColumnFormula>M3*P3</calculatedColumnFormula>
    </tableColumn>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2315B88-1737-4142-A31C-68321C845081}" name="Table14" displayName="Table14" ref="K2:Q11" totalsRowShown="0" headerRowDxfId="8" dataDxfId="7">
  <autoFilter ref="K2:Q11" xr:uid="{BB5E3FE8-E1F3-4B14-B1FA-CDC3C4686A9B}"/>
  <tableColumns count="7">
    <tableColumn id="1" xr3:uid="{FC68DBF6-1CF7-4578-9BA1-6E6B27046DD0}" name="Data Source" dataDxfId="6"/>
    <tableColumn id="2" xr3:uid="{F8D1D03A-4C20-4FC8-9C41-B795D04747D2}" name="% of Sources" dataDxfId="5"/>
    <tableColumn id="3" xr3:uid="{4C25A6D8-961A-49DB-B093-449619D21EFF}" name="# or Sources" dataDxfId="4">
      <calculatedColumnFormula>$G$6*Table14[[#This Row],[% of Sources]]</calculatedColumnFormula>
    </tableColumn>
    <tableColumn id="4" xr3:uid="{DC7C50E8-8CB8-4181-92BE-43E95FCA50D3}" name="Ingestion Rate" dataDxfId="3"/>
    <tableColumn id="5" xr3:uid="{BCA46E50-1340-4C54-8F86-B6DAC8EB50A0}" name="AVG Rate" dataDxfId="2">
      <calculatedColumnFormula>M3*N3</calculatedColumnFormula>
    </tableColumn>
    <tableColumn id="6" xr3:uid="{689B3DB4-D677-43DD-BEF5-F323ECF6B83A}" name="Compression Factor" dataDxfId="1"/>
    <tableColumn id="7" xr3:uid="{AA8DC498-B243-4B61-80F6-8FF5E96A9172}" name="Average Factor" dataDxfId="0">
      <calculatedColumnFormula>M3*P3</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hyperlink" Target="https://azure.microsoft.com/en-us/pricing/details/data-factory/data-pipelin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80E14-3FAD-4310-A80D-16E1C3DE540F}">
  <sheetPr codeName="Sheet1">
    <tabColor rgb="FF92D050"/>
  </sheetPr>
  <dimension ref="A1:T30"/>
  <sheetViews>
    <sheetView showGridLines="0" showRowColHeaders="0" topLeftCell="A12" zoomScale="145" zoomScaleNormal="145" workbookViewId="0">
      <selection activeCell="A24" sqref="A24:R26"/>
    </sheetView>
  </sheetViews>
  <sheetFormatPr defaultColWidth="0" defaultRowHeight="17.100000000000001" customHeight="1" x14ac:dyDescent="0.4"/>
  <cols>
    <col min="1" max="1" width="6.44140625" style="9" customWidth="1"/>
    <col min="2" max="2" width="2" style="9" customWidth="1"/>
    <col min="3" max="3" width="4.33203125" style="9" customWidth="1"/>
    <col min="4" max="4" width="43.109375" style="9" bestFit="1" customWidth="1"/>
    <col min="5" max="5" width="23.109375" style="9" customWidth="1"/>
    <col min="6" max="9" width="11.33203125" style="9" customWidth="1"/>
    <col min="10" max="10" width="13.33203125" style="9" customWidth="1"/>
    <col min="11" max="11" width="11" style="9" customWidth="1"/>
    <col min="12" max="17" width="11.33203125" style="9" customWidth="1"/>
    <col min="18" max="18" width="8.33203125" style="9" customWidth="1"/>
    <col min="19" max="20" width="1.6640625" customWidth="1"/>
  </cols>
  <sheetData>
    <row r="1" spans="1:18" ht="81" customHeight="1" x14ac:dyDescent="0.4">
      <c r="B1" s="499"/>
      <c r="C1" s="499"/>
      <c r="D1" s="499"/>
      <c r="E1" s="499"/>
      <c r="F1" s="499"/>
      <c r="G1" s="499"/>
      <c r="H1" s="499"/>
      <c r="I1" s="499"/>
      <c r="J1" s="499"/>
      <c r="K1" s="499"/>
      <c r="L1" s="499"/>
      <c r="M1" s="499"/>
      <c r="N1" s="499"/>
      <c r="O1" s="499"/>
      <c r="P1" s="499"/>
      <c r="Q1" s="8"/>
      <c r="R1" s="8"/>
    </row>
    <row r="2" spans="1:18" ht="6" customHeight="1" x14ac:dyDescent="0.3">
      <c r="A2" s="22"/>
      <c r="B2" s="500"/>
      <c r="C2" s="500"/>
      <c r="D2" s="500"/>
      <c r="E2" s="500"/>
      <c r="F2" s="500"/>
      <c r="G2" s="500"/>
      <c r="H2" s="500"/>
      <c r="I2" s="500"/>
      <c r="J2" s="500"/>
      <c r="K2" s="23"/>
      <c r="L2" s="23"/>
      <c r="M2" s="23"/>
      <c r="N2" s="23"/>
      <c r="O2" s="23"/>
      <c r="P2" s="23"/>
      <c r="Q2" s="23"/>
      <c r="R2" s="23"/>
    </row>
    <row r="3" spans="1:18" ht="24" customHeight="1" x14ac:dyDescent="0.4">
      <c r="A3" s="501" t="s">
        <v>0</v>
      </c>
      <c r="B3" s="502"/>
      <c r="C3" s="502"/>
      <c r="D3" s="502"/>
      <c r="P3" s="508" t="s">
        <v>1</v>
      </c>
      <c r="Q3" s="508"/>
      <c r="R3" s="508"/>
    </row>
    <row r="4" spans="1:18" ht="83.25" customHeight="1" x14ac:dyDescent="0.3">
      <c r="A4" s="503" t="s">
        <v>2</v>
      </c>
      <c r="B4" s="503"/>
      <c r="C4" s="503"/>
      <c r="D4" s="503"/>
      <c r="E4" s="503"/>
      <c r="F4" s="503"/>
      <c r="G4" s="503"/>
      <c r="H4" s="503"/>
      <c r="I4" s="503"/>
      <c r="J4" s="503"/>
      <c r="K4" s="503"/>
      <c r="L4" s="503"/>
      <c r="M4" s="503"/>
      <c r="N4" s="503"/>
      <c r="O4" s="503"/>
      <c r="P4" s="503"/>
      <c r="Q4" s="12"/>
      <c r="R4" s="12"/>
    </row>
    <row r="5" spans="1:18" ht="21.75" customHeight="1" x14ac:dyDescent="0.3">
      <c r="A5" s="505" t="s">
        <v>3</v>
      </c>
      <c r="B5" s="505"/>
      <c r="C5" s="505"/>
      <c r="D5" s="505"/>
      <c r="E5" s="505"/>
      <c r="F5" s="505"/>
      <c r="G5" s="505"/>
      <c r="H5" s="505"/>
      <c r="I5" s="505"/>
      <c r="J5" s="505"/>
      <c r="K5" s="505"/>
      <c r="L5" s="505"/>
      <c r="M5" s="505"/>
      <c r="N5" s="505"/>
      <c r="O5" s="505"/>
      <c r="P5" s="505"/>
      <c r="Q5" s="12"/>
      <c r="R5" s="12"/>
    </row>
    <row r="6" spans="1:18" ht="6" customHeight="1" x14ac:dyDescent="0.4">
      <c r="C6" s="13"/>
      <c r="D6" s="14"/>
      <c r="E6" s="15"/>
      <c r="F6" s="15"/>
      <c r="G6" s="15"/>
      <c r="H6" s="15"/>
      <c r="I6" s="15"/>
      <c r="J6" s="15"/>
      <c r="K6" s="15"/>
      <c r="L6" s="15"/>
      <c r="M6" s="15"/>
      <c r="N6" s="15"/>
      <c r="O6" s="15"/>
      <c r="P6" s="15"/>
      <c r="Q6" s="16"/>
      <c r="R6" s="16"/>
    </row>
    <row r="7" spans="1:18" ht="20.100000000000001" customHeight="1" x14ac:dyDescent="0.3">
      <c r="A7" s="10" t="s">
        <v>4</v>
      </c>
      <c r="B7" s="11"/>
      <c r="C7" s="17"/>
      <c r="D7" s="18"/>
      <c r="E7" s="17"/>
      <c r="F7" s="17"/>
      <c r="G7" s="17"/>
      <c r="H7" s="17"/>
      <c r="I7" s="17"/>
      <c r="J7" s="17"/>
      <c r="K7" s="17"/>
      <c r="L7" s="17"/>
      <c r="M7" s="17"/>
      <c r="N7" s="17"/>
      <c r="O7" s="17"/>
      <c r="P7" s="17"/>
      <c r="Q7" s="17"/>
      <c r="R7" s="17"/>
    </row>
    <row r="8" spans="1:18" ht="20.100000000000001" customHeight="1" x14ac:dyDescent="0.3">
      <c r="A8" s="506" t="s">
        <v>5</v>
      </c>
      <c r="B8" s="506"/>
      <c r="C8" s="506"/>
      <c r="D8" s="506"/>
      <c r="E8" s="19" t="s">
        <v>6</v>
      </c>
      <c r="F8" s="504" t="s">
        <v>7</v>
      </c>
      <c r="G8" s="504"/>
      <c r="H8" s="504"/>
      <c r="I8" s="504"/>
      <c r="J8" s="504"/>
      <c r="K8"/>
      <c r="L8"/>
      <c r="M8"/>
      <c r="N8"/>
      <c r="O8"/>
      <c r="P8"/>
      <c r="Q8"/>
      <c r="R8"/>
    </row>
    <row r="9" spans="1:18" ht="20.100000000000001" customHeight="1" x14ac:dyDescent="0.3">
      <c r="A9" s="496" t="s">
        <v>8</v>
      </c>
      <c r="B9" s="496"/>
      <c r="C9" s="496"/>
      <c r="D9" s="496"/>
      <c r="E9" s="20" t="s">
        <v>9</v>
      </c>
      <c r="F9" s="509" t="s">
        <v>10</v>
      </c>
      <c r="G9" s="509"/>
      <c r="H9" s="509"/>
      <c r="I9" s="509"/>
      <c r="J9" s="509"/>
      <c r="K9"/>
      <c r="L9"/>
      <c r="M9"/>
      <c r="N9"/>
      <c r="O9"/>
      <c r="P9"/>
      <c r="Q9"/>
      <c r="R9"/>
    </row>
    <row r="10" spans="1:18" ht="20.100000000000001" customHeight="1" x14ac:dyDescent="0.3">
      <c r="A10" s="496" t="s">
        <v>11</v>
      </c>
      <c r="B10" s="496"/>
      <c r="C10" s="496"/>
      <c r="D10" s="496"/>
      <c r="E10" s="20" t="s">
        <v>12</v>
      </c>
      <c r="F10" s="509" t="s">
        <v>13</v>
      </c>
      <c r="G10" s="509"/>
      <c r="H10" s="509"/>
      <c r="I10" s="509"/>
      <c r="J10" s="509"/>
      <c r="K10"/>
      <c r="L10"/>
      <c r="M10"/>
      <c r="N10"/>
      <c r="O10"/>
      <c r="P10"/>
      <c r="Q10"/>
      <c r="R10"/>
    </row>
    <row r="11" spans="1:18" ht="20.100000000000001" customHeight="1" x14ac:dyDescent="0.3">
      <c r="A11" s="496" t="s">
        <v>14</v>
      </c>
      <c r="B11" s="496"/>
      <c r="C11" s="496"/>
      <c r="D11" s="496"/>
      <c r="E11" s="20" t="s">
        <v>15</v>
      </c>
      <c r="F11" s="497" t="s">
        <v>16</v>
      </c>
      <c r="G11" s="497"/>
      <c r="H11" s="497"/>
      <c r="I11" s="497"/>
      <c r="J11" s="497"/>
      <c r="K11"/>
      <c r="L11"/>
      <c r="M11"/>
      <c r="N11"/>
      <c r="O11"/>
      <c r="P11"/>
      <c r="Q11"/>
      <c r="R11"/>
    </row>
    <row r="12" spans="1:18" ht="20.100000000000001" customHeight="1" x14ac:dyDescent="0.3">
      <c r="A12" s="496" t="s">
        <v>17</v>
      </c>
      <c r="B12" s="496"/>
      <c r="C12" s="496"/>
      <c r="D12" s="496"/>
      <c r="E12" s="498" t="s">
        <v>18</v>
      </c>
      <c r="F12" s="509" t="s">
        <v>19</v>
      </c>
      <c r="G12" s="509"/>
      <c r="H12" s="509"/>
      <c r="I12" s="509"/>
      <c r="J12" s="509"/>
      <c r="K12"/>
      <c r="L12"/>
      <c r="M12"/>
      <c r="N12"/>
      <c r="O12"/>
      <c r="P12"/>
      <c r="Q12"/>
      <c r="R12"/>
    </row>
    <row r="13" spans="1:18" ht="20.100000000000001" customHeight="1" x14ac:dyDescent="0.3">
      <c r="A13" s="496" t="s">
        <v>20</v>
      </c>
      <c r="B13" s="496"/>
      <c r="C13" s="496"/>
      <c r="D13" s="496"/>
      <c r="E13" s="498"/>
      <c r="F13" s="509" t="s">
        <v>21</v>
      </c>
      <c r="G13" s="509"/>
      <c r="H13" s="509"/>
      <c r="I13" s="509"/>
      <c r="J13" s="509"/>
      <c r="K13"/>
      <c r="L13"/>
      <c r="M13"/>
      <c r="N13"/>
      <c r="O13"/>
      <c r="P13"/>
      <c r="Q13"/>
      <c r="R13"/>
    </row>
    <row r="14" spans="1:18" ht="20.100000000000001" customHeight="1" x14ac:dyDescent="0.3">
      <c r="A14" s="496" t="s">
        <v>22</v>
      </c>
      <c r="B14" s="496"/>
      <c r="C14" s="496"/>
      <c r="D14" s="496"/>
      <c r="E14" s="498"/>
      <c r="F14" s="509" t="s">
        <v>23</v>
      </c>
      <c r="G14" s="509"/>
      <c r="H14" s="509"/>
      <c r="I14" s="509"/>
      <c r="J14" s="509"/>
      <c r="K14"/>
      <c r="L14"/>
      <c r="M14"/>
      <c r="N14"/>
      <c r="O14"/>
      <c r="P14"/>
      <c r="Q14"/>
      <c r="R14"/>
    </row>
    <row r="15" spans="1:18" ht="20.100000000000001" customHeight="1" x14ac:dyDescent="0.3">
      <c r="A15" s="496" t="s">
        <v>24</v>
      </c>
      <c r="B15" s="496"/>
      <c r="C15" s="496"/>
      <c r="D15" s="496"/>
      <c r="E15" s="20" t="s">
        <v>25</v>
      </c>
      <c r="F15" s="509" t="s">
        <v>26</v>
      </c>
      <c r="G15" s="509"/>
      <c r="H15" s="509"/>
      <c r="I15" s="509"/>
      <c r="J15" s="509"/>
      <c r="K15"/>
      <c r="L15"/>
      <c r="M15"/>
      <c r="N15"/>
      <c r="O15"/>
      <c r="P15"/>
      <c r="Q15"/>
      <c r="R15"/>
    </row>
    <row r="16" spans="1:18" ht="6.75" customHeight="1" x14ac:dyDescent="0.4">
      <c r="K16"/>
      <c r="L16"/>
      <c r="M16"/>
      <c r="N16"/>
      <c r="O16"/>
      <c r="P16"/>
      <c r="Q16"/>
      <c r="R16"/>
    </row>
    <row r="17" spans="1:20" ht="20.100000000000001" customHeight="1" x14ac:dyDescent="0.3">
      <c r="A17"/>
      <c r="B17"/>
      <c r="C17"/>
      <c r="D17"/>
      <c r="E17"/>
      <c r="F17"/>
      <c r="G17"/>
      <c r="H17"/>
      <c r="I17"/>
      <c r="J17"/>
      <c r="K17"/>
      <c r="L17"/>
      <c r="M17"/>
      <c r="N17"/>
      <c r="O17"/>
      <c r="P17"/>
      <c r="Q17"/>
      <c r="R17"/>
    </row>
    <row r="18" spans="1:20" ht="6" customHeight="1" x14ac:dyDescent="0.4"/>
    <row r="19" spans="1:20" ht="20.100000000000001" customHeight="1" x14ac:dyDescent="0.3">
      <c r="A19" s="10" t="s">
        <v>27</v>
      </c>
      <c r="B19" s="21"/>
      <c r="C19" s="21"/>
      <c r="D19" s="21"/>
      <c r="E19" s="21"/>
      <c r="F19" s="21"/>
      <c r="G19" s="21"/>
      <c r="H19" s="21"/>
      <c r="I19" s="10"/>
      <c r="J19" s="21"/>
      <c r="K19" s="21"/>
      <c r="L19" s="21"/>
      <c r="M19" s="21"/>
      <c r="N19" s="21"/>
      <c r="O19" s="21"/>
      <c r="P19" s="21"/>
      <c r="Q19" s="10"/>
      <c r="R19" s="21"/>
      <c r="S19" s="21"/>
      <c r="T19" s="21"/>
    </row>
    <row r="20" spans="1:20" ht="67.5" customHeight="1" x14ac:dyDescent="0.3">
      <c r="A20" s="510" t="s">
        <v>28</v>
      </c>
      <c r="B20" s="510"/>
      <c r="C20" s="510"/>
      <c r="D20" s="510"/>
      <c r="E20" s="510"/>
      <c r="F20" s="510"/>
      <c r="G20" s="510"/>
      <c r="H20" s="510"/>
      <c r="I20" s="510"/>
      <c r="J20" s="510"/>
      <c r="K20" s="510"/>
      <c r="L20" s="510"/>
      <c r="M20" s="510"/>
      <c r="N20" s="510"/>
      <c r="O20" s="510"/>
      <c r="P20" s="510"/>
      <c r="Q20" s="12"/>
      <c r="R20" s="12"/>
    </row>
    <row r="21" spans="1:20" ht="6" customHeight="1" x14ac:dyDescent="0.4"/>
    <row r="22" spans="1:20" ht="20.100000000000001" customHeight="1" x14ac:dyDescent="0.4">
      <c r="A22" s="10" t="s">
        <v>29</v>
      </c>
    </row>
    <row r="23" spans="1:20" ht="15" customHeight="1" x14ac:dyDescent="0.3">
      <c r="A23" s="503" t="s">
        <v>30</v>
      </c>
      <c r="B23" s="503"/>
      <c r="C23" s="503"/>
      <c r="D23" s="503"/>
      <c r="E23" s="503"/>
      <c r="F23" s="503"/>
      <c r="G23" s="503"/>
      <c r="H23" s="503"/>
      <c r="I23" s="503"/>
      <c r="J23" s="503"/>
      <c r="K23" s="503"/>
      <c r="L23" s="503"/>
      <c r="M23" s="503"/>
      <c r="N23" s="503"/>
      <c r="O23" s="503"/>
      <c r="P23" s="503"/>
      <c r="Q23" s="12"/>
      <c r="R23" s="12"/>
    </row>
    <row r="24" spans="1:20" ht="15" customHeight="1" x14ac:dyDescent="0.3">
      <c r="A24" s="503" t="s">
        <v>31</v>
      </c>
      <c r="B24" s="503"/>
      <c r="C24" s="503"/>
      <c r="D24" s="503"/>
      <c r="E24" s="503"/>
      <c r="F24" s="503"/>
      <c r="G24" s="503"/>
      <c r="H24" s="503"/>
      <c r="I24" s="503"/>
      <c r="J24" s="503"/>
      <c r="K24" s="503"/>
      <c r="L24" s="503"/>
      <c r="M24" s="503"/>
      <c r="N24" s="503"/>
      <c r="O24" s="503"/>
      <c r="P24" s="503"/>
      <c r="Q24" s="503"/>
      <c r="R24" s="503"/>
    </row>
    <row r="25" spans="1:20" ht="33.75" customHeight="1" x14ac:dyDescent="0.3">
      <c r="A25" s="503"/>
      <c r="B25" s="503"/>
      <c r="C25" s="503"/>
      <c r="D25" s="503"/>
      <c r="E25" s="503"/>
      <c r="F25" s="503"/>
      <c r="G25" s="503"/>
      <c r="H25" s="503"/>
      <c r="I25" s="503"/>
      <c r="J25" s="503"/>
      <c r="K25" s="503"/>
      <c r="L25" s="503"/>
      <c r="M25" s="503"/>
      <c r="N25" s="503"/>
      <c r="O25" s="503"/>
      <c r="P25" s="503"/>
      <c r="Q25" s="503"/>
      <c r="R25" s="503"/>
    </row>
    <row r="26" spans="1:20" ht="15" customHeight="1" x14ac:dyDescent="0.3">
      <c r="A26" s="503"/>
      <c r="B26" s="503"/>
      <c r="C26" s="503"/>
      <c r="D26" s="503"/>
      <c r="E26" s="503"/>
      <c r="F26" s="503"/>
      <c r="G26" s="503"/>
      <c r="H26" s="503"/>
      <c r="I26" s="503"/>
      <c r="J26" s="503"/>
      <c r="K26" s="503"/>
      <c r="L26" s="503"/>
      <c r="M26" s="503"/>
      <c r="N26" s="503"/>
      <c r="O26" s="503"/>
      <c r="P26" s="503"/>
      <c r="Q26" s="503"/>
      <c r="R26" s="503"/>
    </row>
    <row r="27" spans="1:20" ht="15" customHeight="1" x14ac:dyDescent="0.3">
      <c r="A27" s="507" t="s">
        <v>32</v>
      </c>
      <c r="B27" s="507"/>
      <c r="C27" s="507"/>
      <c r="D27" s="507"/>
      <c r="E27" s="507"/>
      <c r="F27" s="507"/>
      <c r="G27" s="507"/>
      <c r="H27" s="507"/>
      <c r="I27" s="507"/>
      <c r="J27" s="507"/>
      <c r="K27" s="507"/>
      <c r="L27" s="507"/>
      <c r="M27" s="507"/>
      <c r="N27" s="507"/>
      <c r="O27" s="507"/>
      <c r="P27" s="507"/>
      <c r="Q27" s="12"/>
      <c r="R27" s="12"/>
    </row>
    <row r="28" spans="1:20" ht="15" customHeight="1" x14ac:dyDescent="0.3">
      <c r="A28" s="507"/>
      <c r="B28" s="507"/>
      <c r="C28" s="507"/>
      <c r="D28" s="507"/>
      <c r="E28" s="507"/>
      <c r="F28" s="507"/>
      <c r="G28" s="507"/>
      <c r="H28" s="507"/>
      <c r="I28" s="507"/>
      <c r="J28" s="507"/>
      <c r="K28" s="507"/>
      <c r="L28" s="507"/>
      <c r="M28" s="507"/>
      <c r="N28" s="507"/>
      <c r="O28" s="507"/>
      <c r="P28" s="507"/>
      <c r="Q28" s="12"/>
      <c r="R28" s="12"/>
    </row>
    <row r="29" spans="1:20" ht="15" customHeight="1" x14ac:dyDescent="0.3">
      <c r="A29" s="507"/>
      <c r="B29" s="507"/>
      <c r="C29" s="507"/>
      <c r="D29" s="507"/>
      <c r="E29" s="507"/>
      <c r="F29" s="507"/>
      <c r="G29" s="507"/>
      <c r="H29" s="507"/>
      <c r="I29" s="507"/>
      <c r="J29" s="507"/>
      <c r="K29" s="507"/>
      <c r="L29" s="507"/>
      <c r="M29" s="507"/>
      <c r="N29" s="507"/>
      <c r="O29" s="507"/>
      <c r="P29" s="507"/>
      <c r="Q29" s="12"/>
      <c r="R29" s="12"/>
    </row>
    <row r="30" spans="1:20" ht="55.2" customHeight="1" x14ac:dyDescent="0.3">
      <c r="A30" s="507"/>
      <c r="B30" s="507"/>
      <c r="C30" s="507"/>
      <c r="D30" s="507"/>
      <c r="E30" s="507"/>
      <c r="F30" s="507"/>
      <c r="G30" s="507"/>
      <c r="H30" s="507"/>
      <c r="I30" s="507"/>
      <c r="J30" s="507"/>
      <c r="K30" s="507"/>
      <c r="L30" s="507"/>
      <c r="M30" s="507"/>
      <c r="N30" s="507"/>
      <c r="O30" s="507"/>
      <c r="P30" s="507"/>
      <c r="Q30" s="12"/>
      <c r="R30" s="12"/>
    </row>
  </sheetData>
  <sheetProtection algorithmName="SHA-512" hashValue="k0PnuowCCP0q+vPjzCRa1OVjWnktHecdwEw55kDuXJ1br0fLQAgjf7It4FJkLG+FZi5foGPha5I/U1+JzpewVQ==" saltValue="Bw8/Fku4w7LROCaDn9yCtQ==" spinCount="100000" sheet="1" formatCells="0" formatColumns="0" formatRows="0"/>
  <mergeCells count="27">
    <mergeCell ref="A27:P30"/>
    <mergeCell ref="A24:R26"/>
    <mergeCell ref="P3:R3"/>
    <mergeCell ref="A15:D15"/>
    <mergeCell ref="F15:J15"/>
    <mergeCell ref="A20:P20"/>
    <mergeCell ref="A23:P23"/>
    <mergeCell ref="F12:J12"/>
    <mergeCell ref="A13:D13"/>
    <mergeCell ref="F13:J13"/>
    <mergeCell ref="A14:D14"/>
    <mergeCell ref="F14:J14"/>
    <mergeCell ref="A9:D9"/>
    <mergeCell ref="F9:J9"/>
    <mergeCell ref="A10:D10"/>
    <mergeCell ref="F10:J10"/>
    <mergeCell ref="A11:D11"/>
    <mergeCell ref="F11:J11"/>
    <mergeCell ref="A12:D12"/>
    <mergeCell ref="E12:E14"/>
    <mergeCell ref="B1:P1"/>
    <mergeCell ref="B2:J2"/>
    <mergeCell ref="A3:D3"/>
    <mergeCell ref="A4:P4"/>
    <mergeCell ref="F8:J8"/>
    <mergeCell ref="A5:P5"/>
    <mergeCell ref="A8:D8"/>
  </mergeCells>
  <pageMargins left="0.7" right="0.7" top="0.75" bottom="0.75" header="0.3" footer="0.3"/>
  <headerFooter>
    <oddFooter>&amp;L_x000D_&amp;1#&amp;"Calibri"&amp;10&amp;K000000 Classified as Microsoft Confidential</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5BE9A-7DD8-4711-BBDD-C03D271B69EB}">
  <sheetPr codeName="Sheet31">
    <tabColor rgb="FF92D050"/>
  </sheetPr>
  <dimension ref="A1:AA93"/>
  <sheetViews>
    <sheetView showGridLines="0" showRowColHeaders="0" tabSelected="1" zoomScaleNormal="100" workbookViewId="0">
      <selection activeCell="H8" sqref="H8:Z8"/>
    </sheetView>
  </sheetViews>
  <sheetFormatPr defaultColWidth="0" defaultRowHeight="16.8" zeroHeight="1" x14ac:dyDescent="0.4"/>
  <cols>
    <col min="1" max="1" width="7.44140625" style="88" customWidth="1"/>
    <col min="2" max="2" width="5.6640625" style="88" customWidth="1"/>
    <col min="3" max="3" width="43.88671875" style="88" customWidth="1"/>
    <col min="4" max="4" width="37.33203125" style="36" customWidth="1"/>
    <col min="5" max="5" width="34.109375" style="91" hidden="1" customWidth="1"/>
    <col min="6" max="6" width="33" style="91" hidden="1" customWidth="1"/>
    <col min="7" max="7" width="8.6640625" style="91" bestFit="1" customWidth="1"/>
    <col min="8" max="8" width="19.33203125" style="37" customWidth="1"/>
    <col min="9" max="9" width="9" style="92" customWidth="1"/>
    <col min="10" max="13" width="9" style="88" customWidth="1"/>
    <col min="14" max="21" width="9" style="38" customWidth="1"/>
    <col min="22" max="24" width="14" style="38" customWidth="1"/>
    <col min="25" max="26" width="9" style="38" customWidth="1"/>
    <col min="27" max="27" width="9" style="39" customWidth="1"/>
    <col min="28" max="16384" width="9" style="39" hidden="1"/>
  </cols>
  <sheetData>
    <row r="1" spans="1:26" ht="81" customHeight="1" x14ac:dyDescent="0.4">
      <c r="A1" s="390"/>
      <c r="B1" s="390"/>
      <c r="C1" s="390"/>
      <c r="E1" s="391"/>
      <c r="F1" s="391"/>
      <c r="G1" s="391"/>
      <c r="I1" s="390"/>
      <c r="J1" s="390"/>
      <c r="K1" s="390"/>
      <c r="L1" s="390"/>
      <c r="M1" s="390"/>
    </row>
    <row r="2" spans="1:26" ht="27.75" customHeight="1" x14ac:dyDescent="0.8">
      <c r="A2" s="40"/>
      <c r="B2" s="390"/>
      <c r="C2" s="390"/>
      <c r="E2" s="391"/>
      <c r="F2" s="391"/>
      <c r="G2" s="391"/>
      <c r="I2" s="392"/>
      <c r="J2" s="390"/>
      <c r="K2" s="390"/>
      <c r="L2" s="390"/>
      <c r="M2" s="390"/>
    </row>
    <row r="3" spans="1:26" ht="27.75" customHeight="1" x14ac:dyDescent="0.8">
      <c r="A3" s="40"/>
      <c r="B3" s="390"/>
      <c r="C3" s="390"/>
      <c r="E3" s="391"/>
      <c r="F3" s="391"/>
      <c r="G3" s="391"/>
      <c r="I3" s="392"/>
      <c r="J3" s="390"/>
      <c r="K3" s="390"/>
      <c r="L3" s="390"/>
      <c r="M3" s="390"/>
    </row>
    <row r="4" spans="1:26" ht="33" customHeight="1" x14ac:dyDescent="0.8">
      <c r="A4" s="40"/>
      <c r="B4" s="41" t="s">
        <v>33</v>
      </c>
      <c r="C4" s="392"/>
      <c r="D4" s="516" t="s">
        <v>34</v>
      </c>
      <c r="E4" s="517" t="s">
        <v>34</v>
      </c>
      <c r="F4" s="518" t="s">
        <v>34</v>
      </c>
      <c r="G4" s="42"/>
      <c r="I4" s="392"/>
      <c r="J4" s="390"/>
      <c r="K4" s="390"/>
      <c r="L4" s="390"/>
      <c r="M4" s="390"/>
    </row>
    <row r="5" spans="1:26" ht="33" customHeight="1" x14ac:dyDescent="0.8">
      <c r="A5" s="40"/>
      <c r="B5" s="41" t="s">
        <v>35</v>
      </c>
      <c r="C5" s="43"/>
      <c r="D5" s="44"/>
      <c r="E5" s="44"/>
      <c r="F5" s="44"/>
      <c r="G5" s="44"/>
      <c r="H5" s="45" t="s">
        <v>36</v>
      </c>
      <c r="I5" s="46"/>
      <c r="J5" s="46"/>
      <c r="K5" s="46"/>
      <c r="L5" s="46"/>
      <c r="M5" s="390"/>
    </row>
    <row r="6" spans="1:26" ht="20.100000000000001" customHeight="1" x14ac:dyDescent="0.3">
      <c r="A6" s="47"/>
      <c r="B6" s="523" t="s">
        <v>37</v>
      </c>
      <c r="C6" s="523"/>
      <c r="D6" s="48" t="s">
        <v>38</v>
      </c>
      <c r="E6" s="48" t="s">
        <v>39</v>
      </c>
      <c r="F6" s="48" t="s">
        <v>40</v>
      </c>
      <c r="G6" s="48" t="s">
        <v>41</v>
      </c>
      <c r="H6" s="542" t="s">
        <v>42</v>
      </c>
      <c r="I6" s="542"/>
      <c r="J6" s="542"/>
      <c r="K6" s="542"/>
      <c r="L6" s="542"/>
      <c r="M6" s="542"/>
      <c r="N6" s="542"/>
      <c r="O6" s="542"/>
      <c r="P6" s="542"/>
      <c r="Q6" s="542"/>
      <c r="R6" s="542"/>
      <c r="S6" s="542"/>
      <c r="T6" s="542"/>
      <c r="U6" s="542"/>
      <c r="V6" s="542"/>
      <c r="W6" s="542"/>
      <c r="X6" s="542"/>
      <c r="Y6" s="542"/>
      <c r="Z6" s="542"/>
    </row>
    <row r="7" spans="1:26" ht="17.25" customHeight="1" x14ac:dyDescent="0.3">
      <c r="A7" s="49"/>
      <c r="B7" s="546" t="s">
        <v>43</v>
      </c>
      <c r="C7" s="547"/>
      <c r="D7" s="50">
        <v>5</v>
      </c>
      <c r="E7" s="50">
        <v>8</v>
      </c>
      <c r="F7" s="50" cm="1">
        <f t="array" ref="F7">IFERROR(_xlfn.SWITCH(ToggleValue,"Monthly",30-$E$7,"Weekly",7-$E$7),"")</f>
        <v>22</v>
      </c>
      <c r="G7" s="42"/>
      <c r="H7" s="51"/>
      <c r="I7" s="43"/>
      <c r="J7" s="46"/>
      <c r="K7" s="46"/>
      <c r="L7" s="46"/>
      <c r="M7" s="390"/>
    </row>
    <row r="8" spans="1:26" ht="17.25" customHeight="1" x14ac:dyDescent="0.3">
      <c r="A8" s="49"/>
      <c r="B8" s="519" t="s">
        <v>44</v>
      </c>
      <c r="C8" s="520"/>
      <c r="D8" s="52">
        <v>1000</v>
      </c>
      <c r="E8" s="52">
        <v>10000</v>
      </c>
      <c r="F8" s="52">
        <v>10000</v>
      </c>
      <c r="G8" s="42"/>
      <c r="H8" s="543" t="s">
        <v>45</v>
      </c>
      <c r="I8" s="544"/>
      <c r="J8" s="544"/>
      <c r="K8" s="544"/>
      <c r="L8" s="544"/>
      <c r="M8" s="544"/>
      <c r="N8" s="544"/>
      <c r="O8" s="544"/>
      <c r="P8" s="544"/>
      <c r="Q8" s="544"/>
      <c r="R8" s="544"/>
      <c r="S8" s="544"/>
      <c r="T8" s="544"/>
      <c r="U8" s="544"/>
      <c r="V8" s="544"/>
      <c r="W8" s="544"/>
      <c r="X8" s="544"/>
      <c r="Y8" s="544"/>
      <c r="Z8" s="545"/>
    </row>
    <row r="9" spans="1:26" ht="17.25" customHeight="1" x14ac:dyDescent="0.3">
      <c r="A9" s="49"/>
      <c r="B9" s="519" t="s">
        <v>46</v>
      </c>
      <c r="C9" s="520"/>
      <c r="D9" s="50">
        <v>1</v>
      </c>
      <c r="E9" s="50">
        <v>1</v>
      </c>
      <c r="F9" s="50">
        <v>1</v>
      </c>
      <c r="G9" s="42"/>
      <c r="H9" s="532" t="s">
        <v>47</v>
      </c>
      <c r="I9" s="532"/>
      <c r="J9" s="532"/>
      <c r="K9" s="532"/>
      <c r="L9" s="532"/>
      <c r="M9" s="532"/>
      <c r="N9" s="532"/>
      <c r="O9" s="532"/>
      <c r="P9" s="532"/>
      <c r="Q9" s="532"/>
      <c r="R9" s="532"/>
      <c r="S9" s="532"/>
      <c r="T9" s="532"/>
      <c r="U9" s="532"/>
      <c r="V9" s="532"/>
      <c r="W9" s="532"/>
      <c r="X9" s="532"/>
      <c r="Y9" s="532"/>
      <c r="Z9" s="532"/>
    </row>
    <row r="10" spans="1:26" ht="17.25" customHeight="1" x14ac:dyDescent="0.3">
      <c r="A10" s="49"/>
      <c r="B10" s="548" t="s">
        <v>48</v>
      </c>
      <c r="C10" s="549"/>
      <c r="D10" s="50">
        <v>200</v>
      </c>
      <c r="E10" s="50">
        <v>1000</v>
      </c>
      <c r="F10" s="50">
        <v>1000</v>
      </c>
      <c r="G10" s="42"/>
      <c r="H10" s="532" t="s">
        <v>49</v>
      </c>
      <c r="I10" s="532"/>
      <c r="J10" s="532"/>
      <c r="K10" s="532"/>
      <c r="L10" s="532"/>
      <c r="M10" s="532"/>
      <c r="N10" s="532"/>
      <c r="O10" s="532"/>
      <c r="P10" s="532"/>
      <c r="Q10" s="532"/>
      <c r="R10" s="532"/>
      <c r="S10" s="532"/>
      <c r="T10" s="532"/>
      <c r="U10" s="532"/>
      <c r="V10" s="532"/>
      <c r="W10" s="532"/>
      <c r="X10" s="532"/>
      <c r="Y10" s="532"/>
      <c r="Z10" s="532"/>
    </row>
    <row r="11" spans="1:26" ht="17.25" customHeight="1" x14ac:dyDescent="0.3">
      <c r="A11" s="49"/>
      <c r="B11" s="519" t="s">
        <v>50</v>
      </c>
      <c r="C11" s="520"/>
      <c r="D11" s="54">
        <v>0.1</v>
      </c>
      <c r="E11" s="54">
        <v>0.3</v>
      </c>
      <c r="F11" s="54">
        <v>0.3</v>
      </c>
      <c r="G11" s="42"/>
      <c r="H11" s="532" t="s">
        <v>51</v>
      </c>
      <c r="I11" s="532"/>
      <c r="J11" s="532"/>
      <c r="K11" s="532"/>
      <c r="L11" s="532"/>
      <c r="M11" s="532"/>
      <c r="N11" s="532"/>
      <c r="O11" s="532"/>
      <c r="P11" s="532"/>
      <c r="Q11" s="532"/>
      <c r="R11" s="532"/>
      <c r="S11" s="532"/>
      <c r="T11" s="532"/>
      <c r="U11" s="532"/>
      <c r="V11" s="532"/>
      <c r="W11" s="532"/>
      <c r="X11" s="532"/>
      <c r="Y11" s="532"/>
      <c r="Z11" s="532"/>
    </row>
    <row r="12" spans="1:26" ht="17.25" customHeight="1" x14ac:dyDescent="0.3">
      <c r="A12" s="49"/>
      <c r="B12" s="519" t="s">
        <v>52</v>
      </c>
      <c r="C12" s="520"/>
      <c r="D12" s="50">
        <v>10</v>
      </c>
      <c r="E12" s="50">
        <v>30</v>
      </c>
      <c r="F12" s="50">
        <v>10</v>
      </c>
      <c r="G12" s="55" t="s">
        <v>53</v>
      </c>
      <c r="H12" s="532" t="s">
        <v>54</v>
      </c>
      <c r="I12" s="532"/>
      <c r="J12" s="532"/>
      <c r="K12" s="532"/>
      <c r="L12" s="532"/>
      <c r="M12" s="532"/>
      <c r="N12" s="532"/>
      <c r="O12" s="532"/>
      <c r="P12" s="532"/>
      <c r="Q12" s="532"/>
      <c r="R12" s="532"/>
      <c r="S12" s="532"/>
      <c r="T12" s="532"/>
      <c r="U12" s="532"/>
      <c r="V12" s="532"/>
      <c r="W12" s="532"/>
      <c r="X12" s="532"/>
      <c r="Y12" s="532"/>
      <c r="Z12" s="532"/>
    </row>
    <row r="13" spans="1:26" ht="15.75" customHeight="1" x14ac:dyDescent="0.45">
      <c r="A13" s="390"/>
      <c r="B13" s="56"/>
      <c r="C13" s="56"/>
      <c r="D13" s="57"/>
      <c r="E13" s="391"/>
      <c r="F13" s="391"/>
      <c r="G13" s="391"/>
      <c r="H13" s="58"/>
      <c r="I13" s="59"/>
      <c r="J13" s="390"/>
      <c r="K13" s="390"/>
      <c r="L13" s="390"/>
      <c r="M13" s="390"/>
    </row>
    <row r="14" spans="1:26" ht="15.75" customHeight="1" x14ac:dyDescent="0.45">
      <c r="A14" s="390"/>
      <c r="B14" s="60"/>
      <c r="C14" s="61"/>
      <c r="D14" s="62"/>
      <c r="E14" s="63"/>
      <c r="F14" s="63"/>
      <c r="G14" s="63"/>
      <c r="H14" s="64"/>
      <c r="I14" s="59"/>
      <c r="J14" s="390"/>
      <c r="K14" s="390"/>
      <c r="L14" s="390"/>
      <c r="M14" s="390"/>
    </row>
    <row r="15" spans="1:26" ht="19.2" x14ac:dyDescent="0.45">
      <c r="A15" s="390"/>
      <c r="B15" s="56"/>
      <c r="C15" s="56"/>
      <c r="D15" s="57"/>
      <c r="E15" s="391"/>
      <c r="F15" s="391"/>
      <c r="G15" s="391"/>
      <c r="H15" s="58"/>
      <c r="I15" s="59"/>
      <c r="J15" s="390"/>
      <c r="K15" s="390"/>
      <c r="L15" s="390"/>
      <c r="M15" s="390"/>
    </row>
    <row r="16" spans="1:26" ht="19.2" x14ac:dyDescent="0.45">
      <c r="A16" s="390"/>
      <c r="B16" s="56"/>
      <c r="C16" s="56"/>
      <c r="D16" s="57"/>
      <c r="E16" s="391"/>
      <c r="F16" s="391"/>
      <c r="G16" s="391"/>
      <c r="H16" s="58"/>
      <c r="I16" s="59"/>
      <c r="J16" s="390"/>
      <c r="K16" s="390"/>
      <c r="L16" s="390"/>
      <c r="M16" s="390"/>
    </row>
    <row r="17" spans="1:26" s="66" customFormat="1" ht="20.100000000000001" customHeight="1" x14ac:dyDescent="0.3">
      <c r="A17" s="47"/>
      <c r="B17" s="524" t="s">
        <v>37</v>
      </c>
      <c r="C17" s="525"/>
      <c r="D17" s="48" t="s">
        <v>38</v>
      </c>
      <c r="E17" s="48" t="s">
        <v>39</v>
      </c>
      <c r="F17" s="48" t="s">
        <v>40</v>
      </c>
      <c r="G17" s="65"/>
      <c r="H17" s="541" t="s">
        <v>42</v>
      </c>
      <c r="I17" s="541"/>
      <c r="J17" s="541"/>
      <c r="K17" s="541"/>
      <c r="L17" s="541"/>
      <c r="M17" s="541"/>
      <c r="N17" s="541"/>
      <c r="O17" s="541"/>
      <c r="P17" s="541"/>
      <c r="Q17" s="541"/>
      <c r="R17" s="541"/>
      <c r="S17" s="541"/>
      <c r="T17" s="541"/>
      <c r="U17" s="541"/>
      <c r="V17" s="541"/>
      <c r="W17" s="541"/>
      <c r="X17" s="541"/>
      <c r="Y17" s="541"/>
      <c r="Z17" s="541"/>
    </row>
    <row r="18" spans="1:26" ht="19.2" hidden="1" x14ac:dyDescent="0.3">
      <c r="A18" s="49"/>
      <c r="B18" s="519" t="s">
        <v>55</v>
      </c>
      <c r="C18" s="520"/>
      <c r="D18" s="67" t="s">
        <v>56</v>
      </c>
      <c r="E18" s="67" t="s">
        <v>56</v>
      </c>
      <c r="F18" s="67" t="s">
        <v>56</v>
      </c>
      <c r="G18" s="42"/>
      <c r="H18" s="532" t="s">
        <v>57</v>
      </c>
      <c r="I18" s="532"/>
      <c r="J18" s="532"/>
      <c r="K18" s="532"/>
      <c r="L18" s="532"/>
      <c r="M18" s="532"/>
      <c r="N18" s="532"/>
      <c r="O18" s="532"/>
      <c r="P18" s="532"/>
      <c r="Q18" s="532"/>
      <c r="R18" s="532"/>
      <c r="S18" s="532"/>
      <c r="T18" s="532"/>
      <c r="U18" s="532"/>
      <c r="V18" s="532"/>
      <c r="W18" s="532"/>
      <c r="X18" s="532"/>
      <c r="Y18" s="532"/>
      <c r="Z18" s="532"/>
    </row>
    <row r="19" spans="1:26" ht="19.2" x14ac:dyDescent="0.3">
      <c r="A19" s="49"/>
      <c r="B19" s="519" t="s">
        <v>58</v>
      </c>
      <c r="C19" s="520"/>
      <c r="D19" s="68"/>
      <c r="E19" s="521"/>
      <c r="F19" s="522"/>
      <c r="G19" s="42"/>
      <c r="H19" s="532" t="s">
        <v>59</v>
      </c>
      <c r="I19" s="532"/>
      <c r="J19" s="532"/>
      <c r="K19" s="532"/>
      <c r="L19" s="532"/>
      <c r="M19" s="532"/>
      <c r="N19" s="532"/>
      <c r="O19" s="532"/>
      <c r="P19" s="532"/>
      <c r="Q19" s="532"/>
      <c r="R19" s="532"/>
      <c r="S19" s="532"/>
      <c r="T19" s="532"/>
      <c r="U19" s="532"/>
      <c r="V19" s="532"/>
      <c r="W19" s="532"/>
      <c r="X19" s="532"/>
      <c r="Y19" s="532"/>
      <c r="Z19" s="532"/>
    </row>
    <row r="20" spans="1:26" ht="19.2" x14ac:dyDescent="0.3">
      <c r="A20" s="49"/>
      <c r="B20" s="519" t="s">
        <v>60</v>
      </c>
      <c r="C20" s="520"/>
      <c r="D20" s="68"/>
      <c r="E20" s="521"/>
      <c r="F20" s="522"/>
      <c r="G20" s="42"/>
      <c r="H20" s="53" t="s">
        <v>61</v>
      </c>
      <c r="I20" s="53"/>
      <c r="J20" s="53"/>
      <c r="K20" s="53"/>
      <c r="L20" s="53"/>
      <c r="M20" s="53"/>
      <c r="N20" s="53"/>
      <c r="O20" s="53"/>
      <c r="P20" s="53"/>
      <c r="Q20" s="53"/>
      <c r="R20" s="53"/>
      <c r="S20" s="53"/>
      <c r="T20" s="53"/>
      <c r="U20" s="53"/>
      <c r="V20" s="53"/>
      <c r="W20" s="53"/>
      <c r="X20" s="53"/>
      <c r="Y20" s="53"/>
      <c r="Z20" s="53"/>
    </row>
    <row r="21" spans="1:26" ht="19.2" x14ac:dyDescent="0.45">
      <c r="A21" s="49"/>
      <c r="B21" s="69" t="s">
        <v>62</v>
      </c>
      <c r="C21" s="70"/>
      <c r="D21" s="71"/>
      <c r="E21" s="393"/>
      <c r="F21" s="393"/>
      <c r="G21" s="393"/>
      <c r="H21" s="72"/>
      <c r="I21" s="59"/>
      <c r="J21" s="390"/>
      <c r="K21" s="390"/>
      <c r="L21" s="390"/>
      <c r="M21" s="390"/>
    </row>
    <row r="22" spans="1:26" ht="8.1" customHeight="1" x14ac:dyDescent="0.45">
      <c r="A22" s="390"/>
      <c r="B22" s="56"/>
      <c r="C22" s="56"/>
      <c r="D22" s="57"/>
      <c r="E22" s="391"/>
      <c r="F22" s="391"/>
      <c r="G22" s="391"/>
      <c r="H22" s="49"/>
      <c r="I22" s="59"/>
      <c r="J22" s="390"/>
      <c r="K22" s="390"/>
      <c r="L22" s="390"/>
      <c r="M22" s="390"/>
    </row>
    <row r="23" spans="1:26" ht="8.1" customHeight="1" x14ac:dyDescent="0.45">
      <c r="A23" s="390"/>
      <c r="B23" s="60"/>
      <c r="C23" s="61"/>
      <c r="D23" s="57"/>
      <c r="E23" s="63"/>
      <c r="F23" s="63"/>
      <c r="G23" s="63"/>
      <c r="H23" s="64"/>
      <c r="I23" s="59"/>
      <c r="J23" s="390"/>
      <c r="K23" s="390"/>
      <c r="L23" s="390"/>
      <c r="M23" s="390"/>
    </row>
    <row r="24" spans="1:26" ht="19.2" x14ac:dyDescent="0.45">
      <c r="A24" s="390"/>
      <c r="B24" s="56"/>
      <c r="C24" s="56"/>
      <c r="E24" s="391"/>
      <c r="F24" s="391"/>
      <c r="G24" s="391"/>
      <c r="H24" s="58"/>
      <c r="I24" s="59"/>
      <c r="J24" s="390"/>
      <c r="K24" s="390"/>
      <c r="L24" s="390"/>
      <c r="M24" s="390"/>
    </row>
    <row r="25" spans="1:26" s="66" customFormat="1" ht="20.100000000000001" customHeight="1" x14ac:dyDescent="0.3">
      <c r="A25" s="47"/>
      <c r="B25" s="524" t="s">
        <v>37</v>
      </c>
      <c r="C25" s="525"/>
      <c r="D25" s="48" t="s">
        <v>38</v>
      </c>
      <c r="E25" s="48" t="s">
        <v>39</v>
      </c>
      <c r="F25" s="48" t="s">
        <v>40</v>
      </c>
      <c r="G25" s="65"/>
      <c r="H25" s="541" t="s">
        <v>42</v>
      </c>
      <c r="I25" s="541"/>
      <c r="J25" s="541"/>
      <c r="K25" s="541"/>
      <c r="L25" s="541"/>
      <c r="M25" s="541"/>
      <c r="N25" s="541"/>
      <c r="O25" s="541"/>
      <c r="P25" s="541"/>
      <c r="Q25" s="541"/>
      <c r="R25" s="541"/>
      <c r="S25" s="541"/>
      <c r="T25" s="541"/>
      <c r="U25" s="541"/>
      <c r="V25" s="541"/>
      <c r="W25" s="541"/>
      <c r="X25" s="541"/>
      <c r="Y25" s="541"/>
      <c r="Z25" s="541"/>
    </row>
    <row r="26" spans="1:26" ht="15.75" customHeight="1" x14ac:dyDescent="0.3">
      <c r="A26" s="511" t="s">
        <v>63</v>
      </c>
      <c r="B26" s="528" t="s">
        <v>64</v>
      </c>
      <c r="C26" s="529"/>
      <c r="D26" s="73">
        <v>50</v>
      </c>
      <c r="E26" s="73">
        <v>500</v>
      </c>
      <c r="F26" s="74">
        <v>500</v>
      </c>
      <c r="G26" s="42"/>
      <c r="H26" s="532" t="s">
        <v>65</v>
      </c>
      <c r="I26" s="532"/>
      <c r="J26" s="532"/>
      <c r="K26" s="532"/>
      <c r="L26" s="532"/>
      <c r="M26" s="532"/>
      <c r="N26" s="532"/>
      <c r="O26" s="532"/>
      <c r="P26" s="532"/>
      <c r="Q26" s="532"/>
      <c r="R26" s="532"/>
      <c r="S26" s="532"/>
      <c r="T26" s="532"/>
      <c r="U26" s="532"/>
      <c r="V26" s="532"/>
      <c r="W26" s="532"/>
      <c r="X26" s="532"/>
      <c r="Y26" s="532"/>
      <c r="Z26" s="532"/>
    </row>
    <row r="27" spans="1:26" ht="19.2" x14ac:dyDescent="0.3">
      <c r="A27" s="511"/>
      <c r="B27" s="519" t="s">
        <v>66</v>
      </c>
      <c r="C27" s="520"/>
      <c r="D27" s="50"/>
      <c r="E27" s="526"/>
      <c r="F27" s="527"/>
      <c r="G27" s="42"/>
      <c r="H27" s="532" t="s">
        <v>67</v>
      </c>
      <c r="I27" s="532"/>
      <c r="J27" s="532"/>
      <c r="K27" s="532"/>
      <c r="L27" s="532"/>
      <c r="M27" s="532"/>
      <c r="N27" s="532"/>
      <c r="O27" s="532"/>
      <c r="P27" s="532"/>
      <c r="Q27" s="532"/>
      <c r="R27" s="532"/>
      <c r="S27" s="532"/>
      <c r="T27" s="532"/>
      <c r="U27" s="532"/>
      <c r="V27" s="532"/>
      <c r="W27" s="532"/>
      <c r="X27" s="532"/>
      <c r="Y27" s="532"/>
      <c r="Z27" s="532"/>
    </row>
    <row r="28" spans="1:26" ht="19.2" x14ac:dyDescent="0.3">
      <c r="A28" s="511"/>
      <c r="B28" s="519" t="s">
        <v>68</v>
      </c>
      <c r="C28" s="520"/>
      <c r="D28" s="50">
        <v>5</v>
      </c>
      <c r="E28" s="50">
        <v>0</v>
      </c>
      <c r="F28" s="75">
        <v>0</v>
      </c>
      <c r="G28" s="42"/>
      <c r="H28" s="532" t="s">
        <v>69</v>
      </c>
      <c r="I28" s="532"/>
      <c r="J28" s="532"/>
      <c r="K28" s="532"/>
      <c r="L28" s="532"/>
      <c r="M28" s="532"/>
      <c r="N28" s="532"/>
      <c r="O28" s="532"/>
      <c r="P28" s="532"/>
      <c r="Q28" s="532"/>
      <c r="R28" s="532"/>
      <c r="S28" s="532"/>
      <c r="T28" s="532"/>
      <c r="U28" s="532"/>
      <c r="V28" s="532"/>
      <c r="W28" s="532"/>
      <c r="X28" s="532"/>
      <c r="Y28" s="532"/>
      <c r="Z28" s="532"/>
    </row>
    <row r="29" spans="1:26" ht="19.2" x14ac:dyDescent="0.3">
      <c r="A29" s="512"/>
      <c r="B29" s="530" t="s">
        <v>70</v>
      </c>
      <c r="C29" s="531"/>
      <c r="D29" s="76">
        <v>800</v>
      </c>
      <c r="E29" s="77">
        <v>250</v>
      </c>
      <c r="F29" s="78">
        <v>50</v>
      </c>
      <c r="G29" s="42"/>
      <c r="H29" s="532" t="s">
        <v>71</v>
      </c>
      <c r="I29" s="532"/>
      <c r="J29" s="532"/>
      <c r="K29" s="532"/>
      <c r="L29" s="532"/>
      <c r="M29" s="532"/>
      <c r="N29" s="532"/>
      <c r="O29" s="532"/>
      <c r="P29" s="532"/>
      <c r="Q29" s="532"/>
      <c r="R29" s="532"/>
      <c r="S29" s="532"/>
      <c r="T29" s="532"/>
      <c r="U29" s="532"/>
      <c r="V29" s="532"/>
      <c r="W29" s="532"/>
      <c r="X29" s="532"/>
      <c r="Y29" s="532"/>
      <c r="Z29" s="532"/>
    </row>
    <row r="30" spans="1:26" ht="19.2" x14ac:dyDescent="0.3">
      <c r="A30" s="513" t="s">
        <v>72</v>
      </c>
      <c r="B30" s="552" t="s">
        <v>73</v>
      </c>
      <c r="C30" s="553"/>
      <c r="D30" s="79"/>
      <c r="E30" s="554"/>
      <c r="F30" s="555"/>
      <c r="G30" s="42"/>
      <c r="H30" s="53" t="s">
        <v>74</v>
      </c>
      <c r="I30" s="53"/>
      <c r="J30" s="53"/>
      <c r="K30" s="53"/>
      <c r="L30" s="53"/>
      <c r="M30" s="53"/>
      <c r="N30" s="53"/>
      <c r="O30" s="53"/>
      <c r="P30" s="53"/>
      <c r="Q30" s="53"/>
      <c r="R30" s="53"/>
      <c r="S30" s="53"/>
      <c r="T30" s="53"/>
      <c r="U30" s="53"/>
      <c r="V30" s="53"/>
      <c r="W30" s="53"/>
      <c r="X30" s="53"/>
      <c r="Y30" s="53"/>
      <c r="Z30" s="53"/>
    </row>
    <row r="31" spans="1:26" ht="19.2" x14ac:dyDescent="0.3">
      <c r="A31" s="514"/>
      <c r="B31" s="519" t="s">
        <v>75</v>
      </c>
      <c r="C31" s="520"/>
      <c r="D31" s="80">
        <v>600</v>
      </c>
      <c r="E31" s="80">
        <v>800</v>
      </c>
      <c r="F31" s="81">
        <v>100</v>
      </c>
      <c r="G31" s="42"/>
      <c r="H31" s="53" t="s">
        <v>76</v>
      </c>
      <c r="I31" s="53"/>
      <c r="J31" s="53"/>
      <c r="K31" s="53"/>
      <c r="L31" s="53"/>
      <c r="M31" s="53"/>
      <c r="N31" s="53"/>
      <c r="O31" s="53"/>
      <c r="P31" s="53"/>
      <c r="Q31" s="53"/>
      <c r="R31" s="53"/>
      <c r="S31" s="53"/>
      <c r="T31" s="53"/>
      <c r="U31" s="53"/>
      <c r="V31" s="53"/>
      <c r="W31" s="53"/>
      <c r="X31" s="53"/>
      <c r="Y31" s="53"/>
      <c r="Z31" s="53"/>
    </row>
    <row r="32" spans="1:26" ht="19.2" x14ac:dyDescent="0.3">
      <c r="A32" s="515"/>
      <c r="B32" s="550" t="s">
        <v>77</v>
      </c>
      <c r="C32" s="551"/>
      <c r="D32" s="82">
        <v>24</v>
      </c>
      <c r="E32" s="82">
        <v>12</v>
      </c>
      <c r="F32" s="83">
        <v>12</v>
      </c>
      <c r="G32" s="42"/>
      <c r="H32" s="53" t="s">
        <v>78</v>
      </c>
      <c r="I32" s="53"/>
      <c r="J32" s="53"/>
      <c r="K32" s="53"/>
      <c r="L32" s="53"/>
      <c r="M32" s="53"/>
      <c r="N32" s="53"/>
      <c r="O32" s="53"/>
      <c r="P32" s="53"/>
      <c r="Q32" s="53"/>
      <c r="R32" s="53"/>
      <c r="S32" s="53"/>
      <c r="T32" s="53"/>
      <c r="U32" s="53"/>
      <c r="V32" s="53"/>
      <c r="W32" s="53"/>
      <c r="X32" s="53"/>
      <c r="Y32" s="53"/>
      <c r="Z32" s="53"/>
    </row>
    <row r="33" spans="1:26" ht="19.2" x14ac:dyDescent="0.3">
      <c r="A33" s="513" t="s">
        <v>79</v>
      </c>
      <c r="B33" s="548" t="s">
        <v>80</v>
      </c>
      <c r="C33" s="549"/>
      <c r="D33" s="67">
        <v>10</v>
      </c>
      <c r="E33" s="67">
        <v>8</v>
      </c>
      <c r="F33" s="67">
        <v>8</v>
      </c>
      <c r="G33" s="42"/>
      <c r="H33" s="532" t="s">
        <v>81</v>
      </c>
      <c r="I33" s="532"/>
      <c r="J33" s="532"/>
      <c r="K33" s="532"/>
      <c r="L33" s="532"/>
      <c r="M33" s="532"/>
      <c r="N33" s="532"/>
      <c r="O33" s="532"/>
      <c r="P33" s="532"/>
      <c r="Q33" s="532"/>
      <c r="R33" s="532"/>
      <c r="S33" s="532"/>
      <c r="T33" s="532"/>
      <c r="U33" s="532"/>
      <c r="V33" s="532"/>
      <c r="W33" s="532"/>
      <c r="X33" s="532"/>
      <c r="Y33" s="532"/>
      <c r="Z33" s="532"/>
    </row>
    <row r="34" spans="1:26" ht="19.2" x14ac:dyDescent="0.3">
      <c r="A34" s="514"/>
      <c r="B34" s="519" t="s">
        <v>82</v>
      </c>
      <c r="C34" s="520"/>
      <c r="D34" s="50">
        <v>0</v>
      </c>
      <c r="E34" s="50">
        <v>4</v>
      </c>
      <c r="F34" s="50">
        <v>2</v>
      </c>
      <c r="G34" s="42"/>
      <c r="H34" s="532" t="s">
        <v>83</v>
      </c>
      <c r="I34" s="532"/>
      <c r="J34" s="532"/>
      <c r="K34" s="532"/>
      <c r="L34" s="532"/>
      <c r="M34" s="532"/>
      <c r="N34" s="532"/>
      <c r="O34" s="532"/>
      <c r="P34" s="532"/>
      <c r="Q34" s="532"/>
      <c r="R34" s="532"/>
      <c r="S34" s="532"/>
      <c r="T34" s="532"/>
      <c r="U34" s="532"/>
      <c r="V34" s="532"/>
      <c r="W34" s="532"/>
      <c r="X34" s="532"/>
      <c r="Y34" s="532"/>
      <c r="Z34" s="532"/>
    </row>
    <row r="35" spans="1:26" ht="19.2" x14ac:dyDescent="0.3">
      <c r="A35" s="513" t="s">
        <v>24</v>
      </c>
      <c r="B35" s="519" t="s">
        <v>84</v>
      </c>
      <c r="C35" s="520"/>
      <c r="D35" s="68"/>
      <c r="E35" s="521"/>
      <c r="F35" s="522"/>
      <c r="G35" s="42"/>
      <c r="H35" s="53" t="s">
        <v>85</v>
      </c>
      <c r="I35" s="53"/>
      <c r="J35" s="53"/>
      <c r="K35" s="53"/>
      <c r="L35" s="53"/>
      <c r="M35" s="53"/>
      <c r="N35" s="53"/>
      <c r="O35" s="53"/>
      <c r="P35" s="53"/>
      <c r="Q35" s="53"/>
      <c r="R35" s="53"/>
      <c r="S35" s="53"/>
      <c r="T35" s="53"/>
      <c r="U35" s="53"/>
      <c r="V35" s="53"/>
      <c r="W35" s="53"/>
      <c r="X35" s="53"/>
      <c r="Y35" s="53"/>
      <c r="Z35" s="53"/>
    </row>
    <row r="36" spans="1:26" ht="19.2" x14ac:dyDescent="0.3">
      <c r="A36" s="514"/>
      <c r="B36" s="519" t="s">
        <v>86</v>
      </c>
      <c r="C36" s="520"/>
      <c r="D36" s="50">
        <v>15</v>
      </c>
      <c r="E36" s="50">
        <v>10</v>
      </c>
      <c r="F36" s="50">
        <v>2</v>
      </c>
      <c r="G36" s="42"/>
      <c r="H36" s="532" t="s">
        <v>87</v>
      </c>
      <c r="I36" s="532"/>
      <c r="J36" s="532"/>
      <c r="K36" s="532"/>
      <c r="L36" s="532"/>
      <c r="M36" s="532"/>
      <c r="N36" s="532"/>
      <c r="O36" s="532"/>
      <c r="P36" s="532"/>
      <c r="Q36" s="532"/>
      <c r="R36" s="532"/>
      <c r="S36" s="532"/>
      <c r="T36" s="532"/>
      <c r="U36" s="532"/>
      <c r="V36" s="532"/>
      <c r="W36" s="532"/>
      <c r="X36" s="532"/>
      <c r="Y36" s="532"/>
      <c r="Z36" s="532"/>
    </row>
    <row r="37" spans="1:26" ht="19.2" x14ac:dyDescent="0.3">
      <c r="A37" s="515"/>
      <c r="B37" s="519" t="s">
        <v>88</v>
      </c>
      <c r="C37" s="520"/>
      <c r="D37" s="50">
        <v>10</v>
      </c>
      <c r="E37" s="50">
        <v>10</v>
      </c>
      <c r="F37" s="50">
        <v>2</v>
      </c>
      <c r="G37" s="42"/>
      <c r="H37" s="532" t="s">
        <v>89</v>
      </c>
      <c r="I37" s="532"/>
      <c r="J37" s="532"/>
      <c r="K37" s="532"/>
      <c r="L37" s="532"/>
      <c r="M37" s="532"/>
      <c r="N37" s="532"/>
      <c r="O37" s="532"/>
      <c r="P37" s="532"/>
      <c r="Q37" s="532"/>
      <c r="R37" s="532"/>
      <c r="S37" s="532"/>
      <c r="T37" s="532"/>
      <c r="U37" s="532"/>
      <c r="V37" s="532"/>
      <c r="W37" s="532"/>
      <c r="X37" s="532"/>
      <c r="Y37" s="532"/>
      <c r="Z37" s="532"/>
    </row>
    <row r="38" spans="1:26" ht="8.1" customHeight="1" x14ac:dyDescent="0.45">
      <c r="A38" s="37"/>
      <c r="B38" s="56"/>
      <c r="C38" s="56"/>
      <c r="D38" s="57"/>
      <c r="E38" s="391"/>
      <c r="F38" s="391"/>
      <c r="G38" s="391"/>
      <c r="H38" s="58"/>
      <c r="I38" s="59"/>
      <c r="J38" s="390"/>
      <c r="K38" s="390"/>
      <c r="L38" s="390"/>
      <c r="M38" s="390"/>
    </row>
    <row r="39" spans="1:26" ht="8.1" customHeight="1" x14ac:dyDescent="0.45">
      <c r="A39" s="37"/>
      <c r="B39" s="60"/>
      <c r="C39" s="61"/>
      <c r="D39" s="62"/>
      <c r="E39" s="63"/>
      <c r="F39" s="63"/>
      <c r="G39" s="63"/>
      <c r="H39" s="64"/>
      <c r="I39" s="59"/>
      <c r="J39" s="390"/>
      <c r="K39" s="390"/>
      <c r="L39" s="390"/>
      <c r="M39" s="390"/>
    </row>
    <row r="40" spans="1:26" ht="19.2" x14ac:dyDescent="0.45">
      <c r="A40" s="37"/>
      <c r="B40" s="56"/>
      <c r="C40" s="56"/>
      <c r="D40" s="57"/>
      <c r="E40" s="391"/>
      <c r="F40" s="391"/>
      <c r="G40" s="391"/>
      <c r="H40" s="58"/>
      <c r="I40" s="59"/>
      <c r="J40" s="390"/>
      <c r="K40" s="390"/>
      <c r="L40" s="390"/>
      <c r="M40" s="390"/>
    </row>
    <row r="41" spans="1:26" s="66" customFormat="1" ht="20.100000000000001" customHeight="1" x14ac:dyDescent="0.4">
      <c r="A41" s="84"/>
      <c r="B41" s="524" t="s">
        <v>37</v>
      </c>
      <c r="C41" s="525"/>
      <c r="D41" s="48" t="s">
        <v>38</v>
      </c>
      <c r="E41" s="48" t="s">
        <v>39</v>
      </c>
      <c r="F41" s="48" t="s">
        <v>40</v>
      </c>
      <c r="G41" s="65"/>
      <c r="H41" s="541" t="s">
        <v>42</v>
      </c>
      <c r="I41" s="541"/>
      <c r="J41" s="541"/>
      <c r="K41" s="541"/>
      <c r="L41" s="541"/>
      <c r="M41" s="541"/>
      <c r="N41" s="541"/>
      <c r="O41" s="541"/>
      <c r="P41" s="541"/>
      <c r="Q41" s="541"/>
      <c r="R41" s="541"/>
      <c r="S41" s="541"/>
      <c r="T41" s="541"/>
      <c r="U41" s="541"/>
      <c r="V41" s="541"/>
      <c r="W41" s="541"/>
      <c r="X41" s="541"/>
      <c r="Y41" s="541"/>
      <c r="Z41" s="541"/>
    </row>
    <row r="42" spans="1:26" ht="15.75" customHeight="1" x14ac:dyDescent="0.3">
      <c r="A42" s="535" t="s">
        <v>90</v>
      </c>
      <c r="B42" s="548" t="s">
        <v>91</v>
      </c>
      <c r="C42" s="549"/>
      <c r="D42" s="52"/>
      <c r="E42" s="52">
        <v>100</v>
      </c>
      <c r="F42" s="52">
        <v>100</v>
      </c>
      <c r="G42" s="42"/>
      <c r="H42" s="532" t="s">
        <v>92</v>
      </c>
      <c r="I42" s="532"/>
      <c r="J42" s="532"/>
      <c r="K42" s="532"/>
      <c r="L42" s="532"/>
      <c r="M42" s="532"/>
      <c r="N42" s="532"/>
      <c r="O42" s="532"/>
      <c r="P42" s="532"/>
      <c r="Q42" s="532"/>
      <c r="R42" s="532"/>
      <c r="S42" s="532"/>
      <c r="T42" s="532"/>
      <c r="U42" s="532"/>
      <c r="V42" s="532"/>
      <c r="W42" s="532"/>
      <c r="X42" s="532"/>
      <c r="Y42" s="532"/>
      <c r="Z42" s="532"/>
    </row>
    <row r="43" spans="1:26" ht="19.2" x14ac:dyDescent="0.3">
      <c r="A43" s="535"/>
      <c r="B43" s="519" t="s">
        <v>93</v>
      </c>
      <c r="C43" s="520"/>
      <c r="D43" s="50"/>
      <c r="E43" s="50">
        <v>5</v>
      </c>
      <c r="F43" s="50">
        <v>5</v>
      </c>
      <c r="G43" s="42"/>
      <c r="H43" s="532" t="s">
        <v>94</v>
      </c>
      <c r="I43" s="532"/>
      <c r="J43" s="532"/>
      <c r="K43" s="532"/>
      <c r="L43" s="532"/>
      <c r="M43" s="532"/>
      <c r="N43" s="532"/>
      <c r="O43" s="532"/>
      <c r="P43" s="532"/>
      <c r="Q43" s="532"/>
      <c r="R43" s="532"/>
      <c r="S43" s="532"/>
      <c r="T43" s="532"/>
      <c r="U43" s="532"/>
      <c r="V43" s="532"/>
      <c r="W43" s="532"/>
      <c r="X43" s="532"/>
      <c r="Y43" s="532"/>
      <c r="Z43" s="532"/>
    </row>
    <row r="44" spans="1:26" ht="19.2" x14ac:dyDescent="0.3">
      <c r="A44" s="535"/>
      <c r="B44" s="519" t="s">
        <v>95</v>
      </c>
      <c r="C44" s="520"/>
      <c r="D44" s="50"/>
      <c r="E44" s="50">
        <v>25</v>
      </c>
      <c r="F44" s="50">
        <v>25</v>
      </c>
      <c r="G44" s="42"/>
      <c r="H44" s="532" t="s">
        <v>96</v>
      </c>
      <c r="I44" s="532"/>
      <c r="J44" s="532"/>
      <c r="K44" s="532"/>
      <c r="L44" s="532"/>
      <c r="M44" s="532"/>
      <c r="N44" s="532"/>
      <c r="O44" s="532"/>
      <c r="P44" s="532"/>
      <c r="Q44" s="532"/>
      <c r="R44" s="532"/>
      <c r="S44" s="532"/>
      <c r="T44" s="532"/>
      <c r="U44" s="532"/>
      <c r="V44" s="532"/>
      <c r="W44" s="532"/>
      <c r="X44" s="532"/>
      <c r="Y44" s="532"/>
      <c r="Z44" s="532"/>
    </row>
    <row r="45" spans="1:26" ht="19.2" x14ac:dyDescent="0.3">
      <c r="A45" s="536"/>
      <c r="B45" s="556" t="s">
        <v>97</v>
      </c>
      <c r="C45" s="557"/>
      <c r="D45" s="85"/>
      <c r="E45" s="50">
        <v>7</v>
      </c>
      <c r="F45" s="50">
        <v>7</v>
      </c>
      <c r="G45" s="42"/>
      <c r="H45" s="532" t="s">
        <v>98</v>
      </c>
      <c r="I45" s="532"/>
      <c r="J45" s="532"/>
      <c r="K45" s="532"/>
      <c r="L45" s="532"/>
      <c r="M45" s="532"/>
      <c r="N45" s="532"/>
      <c r="O45" s="532"/>
      <c r="P45" s="532"/>
      <c r="Q45" s="532"/>
      <c r="R45" s="532"/>
      <c r="S45" s="532"/>
      <c r="T45" s="532"/>
      <c r="U45" s="532"/>
      <c r="V45" s="532"/>
      <c r="W45" s="532"/>
      <c r="X45" s="532"/>
      <c r="Y45" s="532"/>
      <c r="Z45" s="532"/>
    </row>
    <row r="46" spans="1:26" ht="19.2" x14ac:dyDescent="0.3">
      <c r="A46" s="511" t="s">
        <v>99</v>
      </c>
      <c r="B46" s="539" t="s">
        <v>100</v>
      </c>
      <c r="C46" s="540"/>
      <c r="D46" s="67"/>
      <c r="E46" s="50">
        <v>1</v>
      </c>
      <c r="F46" s="50">
        <v>1</v>
      </c>
      <c r="G46" s="42"/>
      <c r="H46" s="532" t="s">
        <v>101</v>
      </c>
      <c r="I46" s="532"/>
      <c r="J46" s="532"/>
      <c r="K46" s="532"/>
      <c r="L46" s="532"/>
      <c r="M46" s="532"/>
      <c r="N46" s="532"/>
      <c r="O46" s="532"/>
      <c r="P46" s="532"/>
      <c r="Q46" s="532"/>
      <c r="R46" s="532"/>
      <c r="S46" s="532"/>
      <c r="T46" s="532"/>
      <c r="U46" s="532"/>
      <c r="V46" s="532"/>
      <c r="W46" s="532"/>
      <c r="X46" s="532"/>
      <c r="Y46" s="532"/>
      <c r="Z46" s="532"/>
    </row>
    <row r="47" spans="1:26" ht="19.2" x14ac:dyDescent="0.3">
      <c r="A47" s="511"/>
      <c r="B47" s="519" t="s">
        <v>102</v>
      </c>
      <c r="C47" s="520"/>
      <c r="D47" s="50"/>
      <c r="E47" s="50">
        <v>10</v>
      </c>
      <c r="F47" s="50">
        <v>10</v>
      </c>
      <c r="G47" s="42"/>
      <c r="H47" s="532" t="s">
        <v>103</v>
      </c>
      <c r="I47" s="532"/>
      <c r="J47" s="532"/>
      <c r="K47" s="532"/>
      <c r="L47" s="532"/>
      <c r="M47" s="532"/>
      <c r="N47" s="532"/>
      <c r="O47" s="532"/>
      <c r="P47" s="532"/>
      <c r="Q47" s="532"/>
      <c r="R47" s="532"/>
      <c r="S47" s="532"/>
      <c r="T47" s="532"/>
      <c r="U47" s="532"/>
      <c r="V47" s="532"/>
      <c r="W47" s="532"/>
      <c r="X47" s="532"/>
      <c r="Y47" s="532"/>
      <c r="Z47" s="532"/>
    </row>
    <row r="48" spans="1:26" ht="19.2" x14ac:dyDescent="0.3">
      <c r="A48" s="511"/>
      <c r="B48" s="519" t="s">
        <v>104</v>
      </c>
      <c r="C48" s="520"/>
      <c r="D48" s="50"/>
      <c r="E48" s="50">
        <v>7</v>
      </c>
      <c r="F48" s="50">
        <v>7</v>
      </c>
      <c r="G48" s="42"/>
      <c r="H48" s="532" t="s">
        <v>105</v>
      </c>
      <c r="I48" s="532"/>
      <c r="J48" s="532"/>
      <c r="K48" s="532"/>
      <c r="L48" s="532"/>
      <c r="M48" s="532"/>
      <c r="N48" s="532"/>
      <c r="O48" s="532"/>
      <c r="P48" s="532"/>
      <c r="Q48" s="532"/>
      <c r="R48" s="532"/>
      <c r="S48" s="532"/>
      <c r="T48" s="532"/>
      <c r="U48" s="532"/>
      <c r="V48" s="532"/>
      <c r="W48" s="532"/>
      <c r="X48" s="532"/>
      <c r="Y48" s="532"/>
      <c r="Z48" s="532"/>
    </row>
    <row r="49" spans="1:26" ht="19.2" x14ac:dyDescent="0.3">
      <c r="A49" s="511"/>
      <c r="B49" s="519" t="s">
        <v>106</v>
      </c>
      <c r="C49" s="520"/>
      <c r="D49" s="50"/>
      <c r="E49" s="50">
        <v>30</v>
      </c>
      <c r="F49" s="50">
        <v>30</v>
      </c>
      <c r="G49" s="42"/>
      <c r="H49" s="532" t="s">
        <v>107</v>
      </c>
      <c r="I49" s="532"/>
      <c r="J49" s="532"/>
      <c r="K49" s="532"/>
      <c r="L49" s="532"/>
      <c r="M49" s="532"/>
      <c r="N49" s="532"/>
      <c r="O49" s="532"/>
      <c r="P49" s="532"/>
      <c r="Q49" s="532"/>
      <c r="R49" s="532"/>
      <c r="S49" s="532"/>
      <c r="T49" s="532"/>
      <c r="U49" s="532"/>
      <c r="V49" s="532"/>
      <c r="W49" s="532"/>
      <c r="X49" s="532"/>
      <c r="Y49" s="532"/>
      <c r="Z49" s="532"/>
    </row>
    <row r="50" spans="1:26" ht="19.2" x14ac:dyDescent="0.3">
      <c r="A50" s="512"/>
      <c r="B50" s="556" t="s">
        <v>108</v>
      </c>
      <c r="C50" s="557"/>
      <c r="D50" s="85"/>
      <c r="E50" s="50">
        <v>24</v>
      </c>
      <c r="F50" s="50">
        <v>24</v>
      </c>
      <c r="G50" s="42"/>
      <c r="H50" s="532" t="s">
        <v>109</v>
      </c>
      <c r="I50" s="532"/>
      <c r="J50" s="532"/>
      <c r="K50" s="532"/>
      <c r="L50" s="532"/>
      <c r="M50" s="532"/>
      <c r="N50" s="532"/>
      <c r="O50" s="532"/>
      <c r="P50" s="532"/>
      <c r="Q50" s="532"/>
      <c r="R50" s="532"/>
      <c r="S50" s="532"/>
      <c r="T50" s="532"/>
      <c r="U50" s="532"/>
      <c r="V50" s="532"/>
      <c r="W50" s="532"/>
      <c r="X50" s="532"/>
      <c r="Y50" s="532"/>
      <c r="Z50" s="532"/>
    </row>
    <row r="51" spans="1:26" ht="19.2" x14ac:dyDescent="0.3">
      <c r="A51" s="511" t="s">
        <v>110</v>
      </c>
      <c r="B51" s="539" t="s">
        <v>111</v>
      </c>
      <c r="C51" s="540"/>
      <c r="D51" s="67"/>
      <c r="E51" s="50">
        <v>10</v>
      </c>
      <c r="F51" s="50">
        <v>10</v>
      </c>
      <c r="G51" s="42"/>
      <c r="H51" s="532" t="s">
        <v>112</v>
      </c>
      <c r="I51" s="532"/>
      <c r="J51" s="532"/>
      <c r="K51" s="532"/>
      <c r="L51" s="532"/>
      <c r="M51" s="532"/>
      <c r="N51" s="532"/>
      <c r="O51" s="532"/>
      <c r="P51" s="532"/>
      <c r="Q51" s="532"/>
      <c r="R51" s="532"/>
      <c r="S51" s="532"/>
      <c r="T51" s="532"/>
      <c r="U51" s="532"/>
      <c r="V51" s="532"/>
      <c r="W51" s="532"/>
      <c r="X51" s="532"/>
      <c r="Y51" s="532"/>
      <c r="Z51" s="532"/>
    </row>
    <row r="52" spans="1:26" ht="19.2" x14ac:dyDescent="0.3">
      <c r="A52" s="511"/>
      <c r="B52" s="534" t="s">
        <v>113</v>
      </c>
      <c r="C52" s="558"/>
      <c r="D52" s="50"/>
      <c r="E52" s="50">
        <v>24</v>
      </c>
      <c r="F52" s="50">
        <v>24</v>
      </c>
      <c r="G52" s="42"/>
      <c r="H52" s="532" t="s">
        <v>114</v>
      </c>
      <c r="I52" s="532"/>
      <c r="J52" s="532"/>
      <c r="K52" s="532"/>
      <c r="L52" s="532"/>
      <c r="M52" s="532"/>
      <c r="N52" s="532"/>
      <c r="O52" s="532"/>
      <c r="P52" s="532"/>
      <c r="Q52" s="532"/>
      <c r="R52" s="532"/>
      <c r="S52" s="532"/>
      <c r="T52" s="532"/>
      <c r="U52" s="532"/>
      <c r="V52" s="532"/>
      <c r="W52" s="532"/>
      <c r="X52" s="532"/>
      <c r="Y52" s="532"/>
      <c r="Z52" s="532"/>
    </row>
    <row r="53" spans="1:26" ht="19.2" x14ac:dyDescent="0.3">
      <c r="A53" s="511"/>
      <c r="B53" s="533" t="s">
        <v>115</v>
      </c>
      <c r="C53" s="534"/>
      <c r="D53" s="50"/>
      <c r="E53" s="50">
        <v>1</v>
      </c>
      <c r="F53" s="50">
        <v>1</v>
      </c>
      <c r="G53" s="42"/>
      <c r="H53" s="532" t="s">
        <v>116</v>
      </c>
      <c r="I53" s="532"/>
      <c r="J53" s="532"/>
      <c r="K53" s="532"/>
      <c r="L53" s="532"/>
      <c r="M53" s="532"/>
      <c r="N53" s="532"/>
      <c r="O53" s="532"/>
      <c r="P53" s="532"/>
      <c r="Q53" s="532"/>
      <c r="R53" s="532"/>
      <c r="S53" s="532"/>
      <c r="T53" s="532"/>
      <c r="U53" s="532"/>
      <c r="V53" s="532"/>
      <c r="W53" s="532"/>
      <c r="X53" s="532"/>
      <c r="Y53" s="532"/>
      <c r="Z53" s="532"/>
    </row>
    <row r="54" spans="1:26" ht="19.2" x14ac:dyDescent="0.3">
      <c r="A54" s="512"/>
      <c r="B54" s="537" t="s">
        <v>117</v>
      </c>
      <c r="C54" s="538"/>
      <c r="D54" s="85"/>
      <c r="E54" s="50">
        <v>5</v>
      </c>
      <c r="F54" s="50">
        <v>5</v>
      </c>
      <c r="G54" s="42"/>
      <c r="H54" s="532" t="s">
        <v>118</v>
      </c>
      <c r="I54" s="532"/>
      <c r="J54" s="532"/>
      <c r="K54" s="532"/>
      <c r="L54" s="532"/>
      <c r="M54" s="532"/>
      <c r="N54" s="532"/>
      <c r="O54" s="532"/>
      <c r="P54" s="532"/>
      <c r="Q54" s="532"/>
      <c r="R54" s="532"/>
      <c r="S54" s="532"/>
      <c r="T54" s="532"/>
      <c r="U54" s="532"/>
      <c r="V54" s="532"/>
      <c r="W54" s="532"/>
      <c r="X54" s="532"/>
      <c r="Y54" s="532"/>
      <c r="Z54" s="532"/>
    </row>
    <row r="55" spans="1:26" ht="15.75" customHeight="1" x14ac:dyDescent="0.3">
      <c r="A55" s="49"/>
      <c r="B55" s="49"/>
      <c r="C55" s="49"/>
      <c r="D55" s="42"/>
      <c r="E55" s="42"/>
      <c r="F55" s="42"/>
      <c r="G55" s="42"/>
      <c r="H55" s="49"/>
      <c r="I55" s="49"/>
      <c r="J55" s="49"/>
      <c r="K55" s="49"/>
      <c r="L55" s="49"/>
      <c r="M55" s="49"/>
    </row>
    <row r="56" spans="1:26" ht="15.75" customHeight="1" x14ac:dyDescent="0.4">
      <c r="A56" s="390"/>
      <c r="B56" s="390"/>
      <c r="C56" s="394"/>
      <c r="D56" s="86"/>
      <c r="E56" s="87"/>
      <c r="F56" s="87"/>
      <c r="G56" s="87"/>
      <c r="I56" s="392"/>
      <c r="J56" s="390"/>
      <c r="K56" s="390"/>
      <c r="L56" s="390"/>
      <c r="M56" s="390"/>
    </row>
    <row r="57" spans="1:26" s="42" customFormat="1" ht="15.75" customHeight="1" x14ac:dyDescent="0.3">
      <c r="A57" s="49"/>
      <c r="B57" s="49"/>
      <c r="C57" s="49"/>
      <c r="H57" s="49"/>
      <c r="I57" s="49"/>
      <c r="J57" s="49"/>
      <c r="K57" s="49"/>
      <c r="L57" s="49"/>
      <c r="M57" s="49"/>
      <c r="N57" s="49"/>
      <c r="O57" s="49"/>
      <c r="P57" s="49"/>
      <c r="Q57" s="49"/>
      <c r="R57" s="49"/>
      <c r="S57" s="49"/>
      <c r="T57" s="49"/>
      <c r="U57" s="49"/>
      <c r="V57" s="49"/>
      <c r="W57" s="49"/>
      <c r="X57" s="49"/>
      <c r="Y57" s="49"/>
      <c r="Z57" s="49"/>
    </row>
    <row r="58" spans="1:26" s="42" customFormat="1" ht="15.75" customHeight="1" x14ac:dyDescent="0.3">
      <c r="A58" s="49"/>
      <c r="B58" s="49"/>
      <c r="C58" s="49"/>
      <c r="H58" s="49"/>
      <c r="I58" s="49"/>
      <c r="J58" s="49"/>
      <c r="K58" s="49"/>
      <c r="L58" s="49"/>
      <c r="M58" s="49"/>
      <c r="N58" s="49"/>
      <c r="O58" s="49"/>
      <c r="P58" s="49"/>
      <c r="Q58" s="49"/>
      <c r="R58" s="49"/>
      <c r="S58" s="49"/>
      <c r="T58" s="49"/>
      <c r="U58" s="49"/>
      <c r="V58" s="49"/>
      <c r="W58" s="49"/>
      <c r="X58" s="49"/>
      <c r="Y58" s="49"/>
      <c r="Z58" s="49"/>
    </row>
    <row r="59" spans="1:26" s="42" customFormat="1" ht="14.4" x14ac:dyDescent="0.3">
      <c r="A59" s="49"/>
      <c r="B59" s="49"/>
      <c r="C59" s="49"/>
      <c r="H59" s="49"/>
      <c r="I59" s="49"/>
      <c r="J59" s="49"/>
      <c r="K59" s="49"/>
      <c r="L59" s="49"/>
      <c r="M59" s="49"/>
      <c r="N59" s="49"/>
      <c r="O59" s="49"/>
      <c r="P59" s="49"/>
      <c r="Q59" s="49"/>
      <c r="R59" s="49"/>
      <c r="S59" s="49"/>
      <c r="T59" s="49"/>
      <c r="U59" s="49"/>
      <c r="V59" s="49"/>
      <c r="W59" s="49"/>
      <c r="X59" s="49"/>
      <c r="Y59" s="49"/>
      <c r="Z59" s="49"/>
    </row>
    <row r="60" spans="1:26" s="42" customFormat="1" ht="14.4" x14ac:dyDescent="0.3">
      <c r="A60" s="49"/>
      <c r="B60" s="49"/>
      <c r="C60" s="49"/>
      <c r="H60" s="49"/>
      <c r="I60" s="49"/>
      <c r="J60" s="49"/>
      <c r="K60" s="49"/>
      <c r="L60" s="49"/>
      <c r="M60" s="49"/>
      <c r="N60" s="49"/>
      <c r="O60" s="49"/>
      <c r="P60" s="49"/>
      <c r="Q60" s="49"/>
      <c r="R60" s="49"/>
      <c r="S60" s="49"/>
      <c r="T60" s="49"/>
      <c r="U60" s="49"/>
      <c r="V60" s="49"/>
      <c r="W60" s="49"/>
      <c r="X60" s="49"/>
      <c r="Y60" s="49"/>
      <c r="Z60" s="49"/>
    </row>
    <row r="61" spans="1:26" s="42" customFormat="1" ht="14.4" x14ac:dyDescent="0.3">
      <c r="A61" s="49"/>
      <c r="B61" s="49"/>
      <c r="C61" s="49"/>
      <c r="H61" s="49"/>
      <c r="I61" s="49"/>
      <c r="J61" s="49"/>
      <c r="K61" s="49"/>
      <c r="L61" s="49"/>
      <c r="M61" s="49"/>
      <c r="N61" s="49"/>
      <c r="O61" s="49"/>
      <c r="P61" s="49"/>
      <c r="Q61" s="49"/>
      <c r="R61" s="49"/>
      <c r="S61" s="49"/>
      <c r="T61" s="49"/>
      <c r="U61" s="49"/>
      <c r="V61" s="49"/>
      <c r="W61" s="49"/>
      <c r="X61" s="49"/>
      <c r="Y61" s="49"/>
      <c r="Z61" s="49"/>
    </row>
    <row r="62" spans="1:26" s="42" customFormat="1" ht="8.25" customHeight="1" x14ac:dyDescent="0.3">
      <c r="A62" s="49"/>
      <c r="B62" s="49"/>
      <c r="C62" s="49"/>
      <c r="H62" s="49"/>
      <c r="I62" s="49"/>
      <c r="J62" s="49"/>
      <c r="K62" s="49"/>
      <c r="L62" s="49"/>
      <c r="M62" s="49"/>
      <c r="N62" s="49"/>
      <c r="O62" s="49"/>
      <c r="P62" s="49"/>
      <c r="Q62" s="49"/>
      <c r="R62" s="49"/>
      <c r="S62" s="49"/>
      <c r="T62" s="49"/>
      <c r="U62" s="49"/>
      <c r="V62" s="49"/>
      <c r="W62" s="49"/>
      <c r="X62" s="49"/>
      <c r="Y62" s="49"/>
      <c r="Z62" s="49"/>
    </row>
    <row r="63" spans="1:26" s="42" customFormat="1" ht="14.4" hidden="1" x14ac:dyDescent="0.3">
      <c r="A63" s="49"/>
      <c r="B63" s="49"/>
      <c r="C63" s="49"/>
      <c r="H63" s="49"/>
      <c r="I63" s="49"/>
      <c r="J63" s="49"/>
      <c r="K63" s="49"/>
      <c r="L63" s="49"/>
      <c r="M63" s="49"/>
      <c r="N63" s="49"/>
      <c r="O63" s="49"/>
      <c r="P63" s="49"/>
      <c r="Q63" s="49"/>
      <c r="R63" s="49"/>
      <c r="S63" s="49"/>
      <c r="T63" s="49"/>
      <c r="U63" s="49"/>
      <c r="V63" s="49"/>
      <c r="W63" s="49"/>
      <c r="X63" s="49"/>
      <c r="Y63" s="49"/>
      <c r="Z63" s="49"/>
    </row>
    <row r="64" spans="1:26" s="42" customFormat="1" ht="14.4" hidden="1" x14ac:dyDescent="0.3">
      <c r="A64" s="49"/>
      <c r="B64" s="49"/>
      <c r="C64" s="49"/>
      <c r="H64" s="49"/>
      <c r="I64" s="49"/>
      <c r="J64" s="49"/>
      <c r="K64" s="49"/>
      <c r="L64" s="49"/>
      <c r="M64" s="49"/>
      <c r="N64" s="49"/>
      <c r="O64" s="49"/>
      <c r="P64" s="49"/>
      <c r="Q64" s="49"/>
      <c r="R64" s="49"/>
      <c r="S64" s="49"/>
      <c r="T64" s="49"/>
      <c r="U64" s="49"/>
      <c r="V64" s="49"/>
      <c r="W64" s="49"/>
      <c r="X64" s="49"/>
      <c r="Y64" s="49"/>
      <c r="Z64" s="49"/>
    </row>
    <row r="68" spans="4:18" hidden="1" x14ac:dyDescent="0.4">
      <c r="E68" s="391"/>
      <c r="F68" s="391"/>
      <c r="G68" s="391"/>
      <c r="I68" s="392"/>
      <c r="J68" s="390"/>
      <c r="K68" s="390"/>
      <c r="L68" s="390"/>
      <c r="M68" s="390"/>
      <c r="R68" s="89"/>
    </row>
    <row r="69" spans="4:18" hidden="1" x14ac:dyDescent="0.4">
      <c r="D69" s="36">
        <v>2</v>
      </c>
      <c r="E69" s="391">
        <v>1</v>
      </c>
      <c r="F69" s="391">
        <v>1</v>
      </c>
      <c r="G69" s="391"/>
      <c r="I69" s="392"/>
      <c r="J69" s="390"/>
      <c r="K69" s="390"/>
      <c r="L69" s="390"/>
      <c r="M69" s="390"/>
    </row>
    <row r="71" spans="4:18" hidden="1" x14ac:dyDescent="0.4">
      <c r="E71" s="391"/>
      <c r="F71" s="391"/>
      <c r="G71" s="395"/>
      <c r="I71" s="392"/>
      <c r="J71" s="390"/>
      <c r="K71" s="390"/>
      <c r="L71" s="390"/>
      <c r="M71" s="390"/>
    </row>
    <row r="72" spans="4:18" hidden="1" x14ac:dyDescent="0.4">
      <c r="D72" s="90"/>
      <c r="E72" s="395"/>
      <c r="F72" s="395"/>
      <c r="G72" s="391"/>
      <c r="I72" s="392"/>
      <c r="J72" s="390"/>
      <c r="K72" s="390"/>
      <c r="L72" s="390"/>
      <c r="M72" s="390"/>
    </row>
    <row r="78" spans="4:18" hidden="1" x14ac:dyDescent="0.4">
      <c r="E78" s="391"/>
      <c r="F78" s="391"/>
      <c r="G78" s="391"/>
      <c r="I78" s="392"/>
      <c r="J78" s="390"/>
      <c r="K78" s="390"/>
      <c r="L78" s="390"/>
      <c r="M78" s="390"/>
    </row>
    <row r="79" spans="4:18" hidden="1" x14ac:dyDescent="0.4">
      <c r="E79" s="391"/>
      <c r="F79" s="391"/>
      <c r="G79" s="391"/>
      <c r="I79" s="392"/>
      <c r="J79" s="390"/>
      <c r="K79" s="390"/>
      <c r="L79" s="390"/>
      <c r="M79" s="390"/>
    </row>
    <row r="90" x14ac:dyDescent="0.4"/>
    <row r="91" x14ac:dyDescent="0.4"/>
    <row r="92" x14ac:dyDescent="0.4"/>
    <row r="93" x14ac:dyDescent="0.4"/>
  </sheetData>
  <sheetProtection algorithmName="SHA-512" hashValue="+ZCBLTKuC63Sm9R+T4YrhCaG6Pb9DPk+Pcv6nlfKPM2QUr2vFRZQ6YdOZdqwT+yZm+QEZRyabMgAZstwtEwEHg==" saltValue="OzEqEdzhTTuuygqhZVgdTw==" spinCount="100000" sheet="1" objects="1" scenarios="1" formatCells="0" formatColumns="0" formatRows="0"/>
  <mergeCells count="83">
    <mergeCell ref="A35:A37"/>
    <mergeCell ref="A33:A34"/>
    <mergeCell ref="H41:Z41"/>
    <mergeCell ref="B42:C42"/>
    <mergeCell ref="B49:C49"/>
    <mergeCell ref="H36:Z36"/>
    <mergeCell ref="H34:Z34"/>
    <mergeCell ref="H37:Z37"/>
    <mergeCell ref="B41:C41"/>
    <mergeCell ref="B36:C36"/>
    <mergeCell ref="B37:C37"/>
    <mergeCell ref="B35:C35"/>
    <mergeCell ref="E35:F35"/>
    <mergeCell ref="B34:C34"/>
    <mergeCell ref="B33:C33"/>
    <mergeCell ref="B50:C50"/>
    <mergeCell ref="H52:Z52"/>
    <mergeCell ref="H49:Z49"/>
    <mergeCell ref="H50:Z50"/>
    <mergeCell ref="H42:Z42"/>
    <mergeCell ref="H43:Z43"/>
    <mergeCell ref="H44:Z44"/>
    <mergeCell ref="B44:C44"/>
    <mergeCell ref="H51:Z51"/>
    <mergeCell ref="B51:C51"/>
    <mergeCell ref="B43:C43"/>
    <mergeCell ref="B45:C45"/>
    <mergeCell ref="B52:C52"/>
    <mergeCell ref="B31:C31"/>
    <mergeCell ref="B32:C32"/>
    <mergeCell ref="B30:C30"/>
    <mergeCell ref="H29:Z29"/>
    <mergeCell ref="H33:Z33"/>
    <mergeCell ref="E30:F30"/>
    <mergeCell ref="H6:Z6"/>
    <mergeCell ref="H8:Z8"/>
    <mergeCell ref="H9:Z9"/>
    <mergeCell ref="H10:Z10"/>
    <mergeCell ref="B7:C7"/>
    <mergeCell ref="B8:C8"/>
    <mergeCell ref="B9:C9"/>
    <mergeCell ref="B10:C10"/>
    <mergeCell ref="H11:Z11"/>
    <mergeCell ref="H19:Z19"/>
    <mergeCell ref="H26:Z26"/>
    <mergeCell ref="H27:Z27"/>
    <mergeCell ref="H28:Z28"/>
    <mergeCell ref="H25:Z25"/>
    <mergeCell ref="H12:Z12"/>
    <mergeCell ref="H17:Z17"/>
    <mergeCell ref="H18:Z18"/>
    <mergeCell ref="H53:Z53"/>
    <mergeCell ref="H54:Z54"/>
    <mergeCell ref="B11:C11"/>
    <mergeCell ref="B12:C12"/>
    <mergeCell ref="A51:A54"/>
    <mergeCell ref="H45:Z45"/>
    <mergeCell ref="B53:C53"/>
    <mergeCell ref="A42:A45"/>
    <mergeCell ref="A46:A50"/>
    <mergeCell ref="H46:Z46"/>
    <mergeCell ref="H47:Z47"/>
    <mergeCell ref="H48:Z48"/>
    <mergeCell ref="B54:C54"/>
    <mergeCell ref="B46:C46"/>
    <mergeCell ref="B47:C47"/>
    <mergeCell ref="B48:C48"/>
    <mergeCell ref="A26:A29"/>
    <mergeCell ref="A30:A32"/>
    <mergeCell ref="D4:F4"/>
    <mergeCell ref="B20:C20"/>
    <mergeCell ref="E20:F20"/>
    <mergeCell ref="B6:C6"/>
    <mergeCell ref="B17:C17"/>
    <mergeCell ref="E19:F19"/>
    <mergeCell ref="E27:F27"/>
    <mergeCell ref="B26:C26"/>
    <mergeCell ref="B27:C27"/>
    <mergeCell ref="B18:C18"/>
    <mergeCell ref="B19:C19"/>
    <mergeCell ref="B25:C25"/>
    <mergeCell ref="B28:C28"/>
    <mergeCell ref="B29:C29"/>
  </mergeCells>
  <dataValidations count="32">
    <dataValidation type="list" allowBlank="1" showInputMessage="1" showErrorMessage="1" sqref="G12" xr:uid="{F9BB1422-6111-4B06-BA87-A24219341592}">
      <formula1>"%,GB"</formula1>
    </dataValidation>
    <dataValidation type="list" allowBlank="1" showInputMessage="1" showErrorMessage="1" prompt="Select # of Days in a week for Category" sqref="D7" xr:uid="{C8A7A536-3893-4ECC-B0F9-6B7407885638}">
      <formula1>"1,2,3,4,5,6,7"</formula1>
    </dataValidation>
    <dataValidation allowBlank="1" showInputMessage="1" showErrorMessage="1" prompt="Number of &quot;things&quot; monitored Daily" sqref="D42:F42" xr:uid="{15DDC0F8-5862-439A-8A50-55CC1269FE5D}"/>
    <dataValidation allowBlank="1" showInputMessage="1" showErrorMessage="1" prompt="How often does the &quot;thing&quot; send data (in mins)" sqref="D43:F43" xr:uid="{234D8A09-FF00-4E4B-8AB8-5601F6CCAB00}"/>
    <dataValidation allowBlank="1" showInputMessage="1" showErrorMessage="1" prompt="Average No. of Triggers Evaluated Daily" sqref="D44:F44" xr:uid="{796CCE32-9BF8-476F-B6B8-86E10CF1BB1F}"/>
    <dataValidation allowBlank="1" showInputMessage="1" showErrorMessage="1" prompt="No. of Days query want to lookback" sqref="D45:F45" xr:uid="{AEED0D0A-B588-4C50-B54B-6EA597DDE22D}"/>
    <dataValidation allowBlank="1" showInputMessage="1" showErrorMessage="1" prompt="One Time Data (GB) Load" sqref="D46:F46" xr:uid="{512CCC58-2AD5-464F-A1C8-155A43B8E5AC}"/>
    <dataValidation allowBlank="1" showInputMessage="1" showErrorMessage="1" prompt="Data collected (GB) per day" sqref="D47:F47" xr:uid="{0569F448-7642-4F6F-8F5C-498C4A6B6082}"/>
    <dataValidation allowBlank="1" showInputMessage="1" showErrorMessage="1" prompt="No. of Days Data remains active in the system" sqref="D48:F48" xr:uid="{C5ECBB08-E8A4-421F-9C9B-5ED1DB540620}"/>
    <dataValidation allowBlank="1" showInputMessage="1" showErrorMessage="1" prompt="Total retention (cold and hot data available for query - days)" sqref="D49:F49" xr:uid="{8A7DE39A-8821-4EE6-B8D6-6414D8965521}"/>
    <dataValidation type="whole" allowBlank="1" showInputMessage="1" showErrorMessage="1" prompt="Time database is active (ingestion or query)" sqref="D50:F50" xr:uid="{E1327133-3FB1-4E57-B048-7DD4928771C8}">
      <formula1>0</formula1>
      <formula2>24</formula2>
    </dataValidation>
    <dataValidation allowBlank="1" showInputMessage="1" showErrorMessage="1" prompt="Daily Streaming Data (GB) to be processed" sqref="D51:F51" xr:uid="{190CE24B-70C9-442A-A9A6-D1A280CB1729}"/>
    <dataValidation type="whole" allowBlank="1" showInputMessage="1" showErrorMessage="1" prompt="Processing Time (Non-Idle Time -  Hours)" sqref="D52:F52" xr:uid="{D2237757-AC85-474D-BDA7-53B899697CDD}">
      <formula1>0</formula1>
      <formula2>24</formula2>
    </dataValidation>
    <dataValidation allowBlank="1" showInputMessage="1" showErrorMessage="1" prompt="# of Daily Event Streams" sqref="D53:F53" xr:uid="{C6D0F654-63B9-4D20-A854-AAA1859CD24F}"/>
    <dataValidation allowBlank="1" showInputMessage="1" showErrorMessage="1" prompt="# of Daily jobs in Event Stream" sqref="D54:F54" xr:uid="{607B746F-E1EC-4519-A3F7-945F5DFB044B}"/>
    <dataValidation allowBlank="1" showInputMessage="1" showErrorMessage="1" prompt="This is the total data size on disk for the production stack" sqref="D8:F8" xr:uid="{9DD5F850-84B0-4CE7-9181-9C4AAE5F5933}"/>
    <dataValidation allowBlank="1" showInputMessage="1" showErrorMessage="1" prompt="The number of Daily ETL runs" sqref="D9:F9" xr:uid="{E248C718-8576-4E25-9A62-FA0A5258907F}"/>
    <dataValidation allowBlank="1" showInputMessage="1" showErrorMessage="1" prompt="This is the number of source data sets / tables that get processed daily" sqref="D10:F10" xr:uid="{126B0D57-2175-4729-A169-0161C73C29AB}"/>
    <dataValidation allowBlank="1" showInputMessage="1" showErrorMessage="1" prompt="This is the % of data that is active and will need reprocessing in the gold zone." sqref="D11:F11" xr:uid="{DF644F03-D6B4-4AA7-800A-14902C35FA81}"/>
    <dataValidation allowBlank="1" showInputMessage="1" showErrorMessage="1" prompt="This is the Amount of the total data will be ingested for processing daily" sqref="D12:F12" xr:uid="{19686902-6678-4EDA-99A5-56626AE66382}"/>
    <dataValidation allowBlank="1" showInputMessage="1" showErrorMessage="1" prompt="If the customer has licensed all AAD users with Microsoft 365 E5 licenses, this will determine if Pro licenses may be required or not" sqref="D27:F27" xr:uid="{EB2CE425-F877-449C-B147-C383B6710926}"/>
    <dataValidation allowBlank="1" showInputMessage="1" showErrorMessage="1" prompt="The number of existing Power BI Pro Cals the customer has" sqref="D28:F28" xr:uid="{DA099FBA-D02D-4125-8E41-7134CA23650E}"/>
    <dataValidation allowBlank="1" showInputMessage="1" showErrorMessage="1" prompt="The estimated percentage of the Userbase that will access Power BI" sqref="D30:E30" xr:uid="{F879E64A-AD76-456A-A6D5-E215997F02BC}"/>
    <dataValidation allowBlank="1" showInputMessage="1" showErrorMessage="1" prompt="Ad-hoc Duty Cycle(h/day)" sqref="D33:F33" xr:uid="{945356B0-F967-4CF3-A2A1-C0BF282492A6}"/>
    <dataValidation allowBlank="1" showInputMessage="1" showErrorMessage="1" prompt="Total Concurrent queries runs Daily" sqref="D34:F34" xr:uid="{19A9DB34-B8AF-4A58-9A4F-59AB0C6C6BC2}"/>
    <dataValidation allowBlank="1" showInputMessage="1" showErrorMessage="1" prompt="How many Data Science experiments run in a day?" sqref="D36:F36" xr:uid="{B16A38FB-5C1C-43E3-9178-4F295CD3DA6C}"/>
    <dataValidation allowBlank="1" showInputMessage="1" showErrorMessage="1" prompt="No. of Data Scientists working Daily" sqref="D37:F37" xr:uid="{C3DF96C6-ADA4-4AED-B9FA-D96DE5EDEC93}"/>
    <dataValidation type="list" allowBlank="1" showInputMessage="1" showErrorMessage="1" prompt="Select # of Lean Days" sqref="F7" xr:uid="{8894066B-23E0-4E02-8B3F-E65258050599}">
      <formula1>$E$78</formula1>
    </dataValidation>
    <dataValidation allowBlank="1" showInputMessage="1" showErrorMessage="1" prompt="The Number of daily active consumers of Embedded reports" sqref="D31:F31" xr:uid="{9A19BA42-1E48-422A-B320-124C275E8D5A}"/>
    <dataValidation allowBlank="1" showInputMessage="1" showErrorMessage="1" prompt="The daily service window where you expect users to consume Embedded content" sqref="D32:F32" xr:uid="{20B05298-F9F9-40E8-9926-C737EB3BD5F8}"/>
    <dataValidation allowBlank="1" showInputMessage="1" showErrorMessage="1" prompt="This is the total number of Report / Dashboard authors or creaters" sqref="D26:F26" xr:uid="{CD747567-B084-4497-8C1F-347ED90B8055}"/>
    <dataValidation allowBlank="1" showInputMessage="1" showErrorMessage="1" prompt="The estimated count of the Userbase that will access Power BI" sqref="D29:F29" xr:uid="{9268B36A-D222-45FF-9D24-1C9687AEE398}"/>
  </dataValidations>
  <pageMargins left="0.7" right="0.7" top="0.75" bottom="0.75" header="0.3" footer="0.3"/>
  <pageSetup orientation="portrait" r:id="rId1"/>
  <headerFooter>
    <oddFooter>&amp;L_x000D_&amp;1#&amp;"Calibri"&amp;10&amp;K000000 Classified as Microsoft Confidential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from>
                    <xdr:col>3</xdr:col>
                    <xdr:colOff>1112520</xdr:colOff>
                    <xdr:row>18</xdr:row>
                    <xdr:rowOff>7620</xdr:rowOff>
                  </from>
                  <to>
                    <xdr:col>3</xdr:col>
                    <xdr:colOff>1623060</xdr:colOff>
                    <xdr:row>18</xdr:row>
                    <xdr:rowOff>213360</xdr:rowOff>
                  </to>
                </anchor>
              </controlPr>
            </control>
          </mc:Choice>
        </mc:AlternateContent>
        <mc:AlternateContent xmlns:mc="http://schemas.openxmlformats.org/markup-compatibility/2006">
          <mc:Choice Requires="x14">
            <control shapeId="69634" r:id="rId5" name="Check Box 2">
              <controlPr defaultSize="0" autoFill="0" autoLine="0" autoPict="0">
                <anchor>
                  <from>
                    <xdr:col>3</xdr:col>
                    <xdr:colOff>1143000</xdr:colOff>
                    <xdr:row>25</xdr:row>
                    <xdr:rowOff>190500</xdr:rowOff>
                  </from>
                  <to>
                    <xdr:col>3</xdr:col>
                    <xdr:colOff>1676400</xdr:colOff>
                    <xdr:row>27</xdr:row>
                    <xdr:rowOff>7620</xdr:rowOff>
                  </to>
                </anchor>
              </controlPr>
            </control>
          </mc:Choice>
        </mc:AlternateContent>
        <mc:AlternateContent xmlns:mc="http://schemas.openxmlformats.org/markup-compatibility/2006">
          <mc:Choice Requires="x14">
            <control shapeId="69635" r:id="rId6" name="Option Button 3">
              <controlPr defaultSize="0" autoFill="0" autoLine="0" autoPict="0" macro="[0]!Hide_Unhide">
                <anchor>
                  <from>
                    <xdr:col>2</xdr:col>
                    <xdr:colOff>2865120</xdr:colOff>
                    <xdr:row>3</xdr:row>
                    <xdr:rowOff>365760</xdr:rowOff>
                  </from>
                  <to>
                    <xdr:col>3</xdr:col>
                    <xdr:colOff>723900</xdr:colOff>
                    <xdr:row>5</xdr:row>
                    <xdr:rowOff>83820</xdr:rowOff>
                  </to>
                </anchor>
              </controlPr>
            </control>
          </mc:Choice>
        </mc:AlternateContent>
        <mc:AlternateContent xmlns:mc="http://schemas.openxmlformats.org/markup-compatibility/2006">
          <mc:Choice Requires="x14">
            <control shapeId="69636" r:id="rId7" name="Option Button 4">
              <controlPr defaultSize="0" autoFill="0" autoLine="0" autoPict="0" macro="[0]!Hide_Unhide">
                <anchor>
                  <from>
                    <xdr:col>3</xdr:col>
                    <xdr:colOff>1158240</xdr:colOff>
                    <xdr:row>3</xdr:row>
                    <xdr:rowOff>365760</xdr:rowOff>
                  </from>
                  <to>
                    <xdr:col>3</xdr:col>
                    <xdr:colOff>1744980</xdr:colOff>
                    <xdr:row>5</xdr:row>
                    <xdr:rowOff>83820</xdr:rowOff>
                  </to>
                </anchor>
              </controlPr>
            </control>
          </mc:Choice>
        </mc:AlternateContent>
        <mc:AlternateContent xmlns:mc="http://schemas.openxmlformats.org/markup-compatibility/2006">
          <mc:Choice Requires="x14">
            <control shapeId="69643" r:id="rId8" name="Check Box 11">
              <controlPr defaultSize="0" autoFill="0" autoLine="0" autoPict="0">
                <anchor>
                  <from>
                    <xdr:col>3</xdr:col>
                    <xdr:colOff>1112520</xdr:colOff>
                    <xdr:row>18</xdr:row>
                    <xdr:rowOff>198120</xdr:rowOff>
                  </from>
                  <to>
                    <xdr:col>3</xdr:col>
                    <xdr:colOff>1485900</xdr:colOff>
                    <xdr:row>19</xdr:row>
                    <xdr:rowOff>198120</xdr:rowOff>
                  </to>
                </anchor>
              </controlPr>
            </control>
          </mc:Choice>
        </mc:AlternateContent>
        <mc:AlternateContent xmlns:mc="http://schemas.openxmlformats.org/markup-compatibility/2006">
          <mc:Choice Requires="x14">
            <control shapeId="69650" r:id="rId9" name="Check Box 18">
              <controlPr defaultSize="0" autoFill="0" autoLine="0" autoPict="0">
                <anchor>
                  <from>
                    <xdr:col>3</xdr:col>
                    <xdr:colOff>1135380</xdr:colOff>
                    <xdr:row>33</xdr:row>
                    <xdr:rowOff>198120</xdr:rowOff>
                  </from>
                  <to>
                    <xdr:col>3</xdr:col>
                    <xdr:colOff>1554480</xdr:colOff>
                    <xdr:row>34</xdr:row>
                    <xdr:rowOff>198120</xdr:rowOff>
                  </to>
                </anchor>
              </controlPr>
            </control>
          </mc:Choice>
        </mc:AlternateContent>
        <mc:AlternateContent xmlns:mc="http://schemas.openxmlformats.org/markup-compatibility/2006">
          <mc:Choice Requires="x14">
            <control shapeId="69654" r:id="rId10" name="Check Box 22">
              <controlPr defaultSize="0" autoFill="0" autoLine="0" autoPict="0">
                <anchor>
                  <from>
                    <xdr:col>3</xdr:col>
                    <xdr:colOff>1127760</xdr:colOff>
                    <xdr:row>29</xdr:row>
                    <xdr:rowOff>22860</xdr:rowOff>
                  </from>
                  <to>
                    <xdr:col>3</xdr:col>
                    <xdr:colOff>1554480</xdr:colOff>
                    <xdr:row>30</xdr:row>
                    <xdr:rowOff>22860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prompt="Select # of Peak Days" xr:uid="{0AAA1427-B65B-44DF-9BFF-0CB33CBDDF1D}">
          <x14:formula1>
            <xm:f>FabricMapping!$G$143:$G$172</xm:f>
          </x14:formula1>
          <xm:sqref>E7</xm:sqref>
        </x14:dataValidation>
        <x14:dataValidation type="list" allowBlank="1" showInputMessage="1" showErrorMessage="1" xr:uid="{ECCAECE0-CA37-4AA9-ACAF-0D24034C4494}">
          <x14:formula1>
            <xm:f>FabricMapping!$F$39:$F$43</xm:f>
          </x14:formula1>
          <xm:sqref>E18:F18</xm:sqref>
        </x14:dataValidation>
        <x14:dataValidation type="list" allowBlank="1" showInputMessage="1" showErrorMessage="1" xr:uid="{E4930DA1-3B76-47DB-A4B5-8A0A09DB8348}">
          <x14:formula1>
            <xm:f>FabricMapping!$E$110:$E$112</xm:f>
          </x14:formula1>
          <xm:sqref>D4</xm:sqref>
        </x14:dataValidation>
        <x14:dataValidation type="list" allowBlank="1" showInputMessage="1" showErrorMessage="1" prompt="This is the combination of Total vCores and Memory required for processing jobs. Default set to Medium." xr:uid="{FAAF5BAC-E7D4-406D-BD8A-3B2ABAC9F192}">
          <x14:formula1>
            <xm:f>FabricMapping!$F$39:$F$43</xm:f>
          </x14:formula1>
          <xm:sqref>D18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6DD6C-B68A-4E85-887D-60789740C7E4}">
  <sheetPr codeName="Sheet32">
    <tabColor rgb="FF92D050"/>
  </sheetPr>
  <dimension ref="A1:CD67"/>
  <sheetViews>
    <sheetView showGridLines="0" showRowColHeaders="0" zoomScale="115" zoomScaleNormal="115" workbookViewId="0">
      <selection activeCell="E17" sqref="E16:E17"/>
    </sheetView>
  </sheetViews>
  <sheetFormatPr defaultColWidth="0" defaultRowHeight="16.8" x14ac:dyDescent="0.4"/>
  <cols>
    <col min="1" max="1" width="1.88671875" style="93" customWidth="1"/>
    <col min="2" max="2" width="40.33203125" style="93" bestFit="1" customWidth="1"/>
    <col min="3" max="3" width="1.109375" style="93" customWidth="1"/>
    <col min="4" max="4" width="16.88671875" style="93" customWidth="1"/>
    <col min="5" max="5" width="20" style="93" customWidth="1"/>
    <col min="6" max="6" width="16.44140625" style="93" customWidth="1"/>
    <col min="7" max="7" width="18.33203125" style="93" customWidth="1"/>
    <col min="8" max="9" width="1.5546875" style="93" customWidth="1"/>
    <col min="10" max="10" width="22.5546875" style="93" customWidth="1"/>
    <col min="11" max="11" width="15.109375" style="93" customWidth="1"/>
    <col min="12" max="12" width="16" style="93" customWidth="1"/>
    <col min="13" max="13" width="1.5546875" style="93" customWidth="1"/>
    <col min="14" max="14" width="22.5546875" style="93" customWidth="1"/>
    <col min="15" max="15" width="13.88671875" style="93" bestFit="1" customWidth="1"/>
    <col min="16" max="16" width="16.109375" style="93" customWidth="1"/>
    <col min="17" max="17" width="1.5546875" style="93" customWidth="1"/>
    <col min="18" max="18" width="36.5546875" style="93" customWidth="1"/>
    <col min="19" max="19" width="9" style="93" customWidth="1"/>
    <col min="20" max="20" width="9" style="93" hidden="1" customWidth="1"/>
    <col min="21" max="21" width="9" style="94" hidden="1" customWidth="1"/>
    <col min="22" max="22" width="0" style="94" hidden="1" customWidth="1"/>
    <col min="23" max="72" width="9" style="94" hidden="1" customWidth="1"/>
    <col min="73" max="74" width="12.5546875" style="371" hidden="1" customWidth="1"/>
    <col min="75" max="75" width="2.88671875" style="366" hidden="1" customWidth="1"/>
    <col min="76" max="76" width="16.109375" style="371" hidden="1" customWidth="1"/>
    <col min="77" max="77" width="2.44140625" style="366" hidden="1" customWidth="1"/>
    <col min="78" max="78" width="15.109375" style="371" hidden="1" customWidth="1"/>
    <col min="79" max="79" width="2.109375" style="366" hidden="1" customWidth="1"/>
    <col min="80" max="80" width="16.88671875" style="371" hidden="1" customWidth="1"/>
    <col min="81" max="81" width="2.5546875" style="366" hidden="1" customWidth="1"/>
    <col min="82" max="82" width="18.88671875" style="371" hidden="1" customWidth="1"/>
    <col min="83" max="16384" width="9" style="94" hidden="1"/>
  </cols>
  <sheetData>
    <row r="1" spans="1:82" ht="81" customHeight="1" x14ac:dyDescent="0.4">
      <c r="BU1" s="559" t="s">
        <v>119</v>
      </c>
      <c r="BV1" s="559"/>
      <c r="BW1" s="362"/>
      <c r="BX1" s="363" t="s">
        <v>120</v>
      </c>
      <c r="BY1" s="362"/>
      <c r="BZ1" s="364" t="s">
        <v>39</v>
      </c>
      <c r="CA1" s="362"/>
      <c r="CB1" s="364" t="s">
        <v>40</v>
      </c>
      <c r="CC1" s="362"/>
      <c r="CD1" s="364" t="s">
        <v>121</v>
      </c>
    </row>
    <row r="2" spans="1:82" ht="6" customHeight="1" x14ac:dyDescent="0.7">
      <c r="A2" s="95"/>
      <c r="B2" s="96"/>
      <c r="C2" s="96"/>
      <c r="D2" s="96"/>
      <c r="E2" s="96"/>
      <c r="F2" s="96"/>
      <c r="G2" s="96"/>
      <c r="H2" s="96"/>
      <c r="I2" s="96"/>
      <c r="J2" s="97"/>
      <c r="K2" s="97"/>
      <c r="L2" s="97"/>
      <c r="M2" s="97"/>
      <c r="N2" s="97"/>
      <c r="O2" s="97"/>
      <c r="P2" s="97"/>
      <c r="Q2" s="97"/>
      <c r="R2" s="97"/>
      <c r="S2" s="96"/>
      <c r="BU2" s="365"/>
      <c r="BV2" s="365"/>
      <c r="BX2" s="365"/>
      <c r="BZ2" s="367"/>
      <c r="CB2" s="367"/>
      <c r="CD2" s="367"/>
    </row>
    <row r="3" spans="1:82" ht="6" customHeight="1" x14ac:dyDescent="0.7">
      <c r="A3" s="98"/>
      <c r="B3" s="36"/>
      <c r="C3" s="36"/>
      <c r="D3" s="36"/>
      <c r="E3" s="36"/>
      <c r="F3" s="36"/>
      <c r="G3" s="36"/>
      <c r="H3" s="99"/>
      <c r="I3" s="36"/>
      <c r="J3" s="100"/>
      <c r="K3" s="100"/>
      <c r="L3" s="100"/>
      <c r="M3" s="100"/>
      <c r="N3" s="100"/>
      <c r="O3" s="100"/>
      <c r="P3" s="100"/>
      <c r="Q3" s="100"/>
      <c r="R3" s="100"/>
      <c r="S3" s="36"/>
      <c r="T3" s="36"/>
      <c r="BU3" s="368"/>
      <c r="BV3" s="368"/>
      <c r="BX3" s="368"/>
      <c r="BZ3" s="369"/>
      <c r="CB3" s="369"/>
      <c r="CD3" s="369"/>
    </row>
    <row r="4" spans="1:82" ht="19.5" customHeight="1" thickBot="1" x14ac:dyDescent="0.45">
      <c r="A4" s="101"/>
      <c r="B4" s="102" t="s">
        <v>122</v>
      </c>
      <c r="C4" s="103"/>
      <c r="D4" s="103"/>
      <c r="E4" s="101"/>
      <c r="F4" s="101"/>
      <c r="G4" s="101"/>
      <c r="H4" s="104"/>
      <c r="I4" s="101"/>
      <c r="J4" s="102" t="s">
        <v>123</v>
      </c>
      <c r="K4" s="101"/>
      <c r="L4" s="101"/>
      <c r="M4" s="101"/>
      <c r="N4" s="101"/>
      <c r="O4" s="101"/>
      <c r="P4" s="101"/>
      <c r="Q4" s="101"/>
      <c r="R4" s="101"/>
      <c r="S4" s="101"/>
      <c r="T4" s="105"/>
      <c r="BU4" s="370"/>
      <c r="BV4" s="370"/>
      <c r="BX4" s="370"/>
      <c r="BZ4" s="370"/>
      <c r="CB4" s="370"/>
      <c r="CD4" s="370"/>
    </row>
    <row r="5" spans="1:82" ht="19.2" hidden="1" x14ac:dyDescent="0.45">
      <c r="B5" s="106" t="s">
        <v>124</v>
      </c>
      <c r="C5" s="106"/>
      <c r="D5" s="106"/>
      <c r="E5" s="107"/>
      <c r="F5" s="108"/>
      <c r="H5" s="109"/>
      <c r="I5" s="110"/>
    </row>
    <row r="6" spans="1:82" ht="20.25" customHeight="1" x14ac:dyDescent="0.4">
      <c r="B6" s="112" t="s">
        <v>125</v>
      </c>
      <c r="C6" s="113"/>
      <c r="D6" s="114">
        <v>0.8</v>
      </c>
      <c r="G6" s="115" t="s">
        <v>126</v>
      </c>
      <c r="H6" s="109"/>
      <c r="I6" s="110"/>
    </row>
    <row r="7" spans="1:82" ht="17.25" customHeight="1" x14ac:dyDescent="0.4">
      <c r="B7" s="111"/>
      <c r="C7" s="111"/>
      <c r="D7" s="111"/>
      <c r="E7" s="111"/>
      <c r="F7" s="111"/>
      <c r="G7" s="111"/>
      <c r="H7" s="116"/>
      <c r="I7" s="117"/>
      <c r="J7" s="111"/>
      <c r="K7" s="118" t="s">
        <v>127</v>
      </c>
      <c r="L7" s="119">
        <f>UserInputs!$E$7</f>
        <v>8</v>
      </c>
      <c r="M7" s="120"/>
      <c r="N7" s="111"/>
      <c r="O7" s="118" t="s">
        <v>128</v>
      </c>
      <c r="P7" s="121">
        <f>UserInputs!$F$7</f>
        <v>22</v>
      </c>
      <c r="Q7" s="111"/>
      <c r="R7" s="111"/>
      <c r="S7" s="111"/>
    </row>
    <row r="8" spans="1:82" ht="19.2" x14ac:dyDescent="0.45">
      <c r="B8" s="122" t="s">
        <v>129</v>
      </c>
      <c r="C8" s="123"/>
      <c r="D8" s="123"/>
      <c r="E8" s="124" t="str">
        <f>ToggleValue&amp;" Estimate for Avg. usage"</f>
        <v>Monthly Estimate for Avg. usage</v>
      </c>
      <c r="F8" s="124"/>
      <c r="G8" s="124"/>
      <c r="H8" s="116"/>
      <c r="I8" s="117"/>
      <c r="J8" s="125" t="s">
        <v>130</v>
      </c>
      <c r="K8" s="125"/>
      <c r="L8" s="125"/>
      <c r="M8" s="126"/>
      <c r="N8" s="125" t="s">
        <v>131</v>
      </c>
      <c r="O8" s="125"/>
      <c r="P8" s="125"/>
      <c r="Q8" s="126"/>
      <c r="R8" s="127" t="str">
        <f>ToggleValue&amp;" Est. for variable usage"</f>
        <v>Monthly Est. for variable usage</v>
      </c>
      <c r="S8" s="111"/>
      <c r="BU8" s="372"/>
      <c r="BV8" s="372"/>
      <c r="BX8" s="372"/>
      <c r="BZ8" s="373"/>
      <c r="CB8" s="373"/>
      <c r="CD8" s="374"/>
    </row>
    <row r="9" spans="1:82" ht="8.25" customHeight="1" x14ac:dyDescent="0.4">
      <c r="B9" s="111"/>
      <c r="C9" s="111"/>
      <c r="D9" s="111"/>
      <c r="E9" s="111"/>
      <c r="F9" s="111"/>
      <c r="G9" s="111"/>
      <c r="H9" s="116"/>
      <c r="I9" s="117"/>
      <c r="J9" s="111"/>
      <c r="K9" s="111"/>
      <c r="L9" s="111"/>
      <c r="M9" s="111"/>
      <c r="N9" s="111"/>
      <c r="O9" s="111"/>
      <c r="P9" s="111"/>
      <c r="Q9" s="111"/>
      <c r="R9" s="111"/>
      <c r="S9" s="111"/>
    </row>
    <row r="10" spans="1:82" ht="38.1" customHeight="1" x14ac:dyDescent="0.45">
      <c r="B10" s="128" t="s">
        <v>132</v>
      </c>
      <c r="C10" s="129"/>
      <c r="D10" s="130" t="s">
        <v>133</v>
      </c>
      <c r="E10" s="130" t="str">
        <f>ToggleValue&amp;" Capacity Minutes"</f>
        <v>Monthly Capacity Minutes</v>
      </c>
      <c r="F10" s="131" t="s">
        <v>134</v>
      </c>
      <c r="G10" s="131" t="s">
        <v>135</v>
      </c>
      <c r="H10" s="132"/>
      <c r="I10" s="133"/>
      <c r="J10" s="130" t="s">
        <v>133</v>
      </c>
      <c r="K10" s="131" t="s">
        <v>134</v>
      </c>
      <c r="L10" s="131" t="s">
        <v>135</v>
      </c>
      <c r="M10" s="134"/>
      <c r="N10" s="130" t="s">
        <v>133</v>
      </c>
      <c r="O10" s="131" t="s">
        <v>134</v>
      </c>
      <c r="P10" s="131" t="s">
        <v>135</v>
      </c>
      <c r="Q10" s="134"/>
      <c r="R10" s="130" t="s">
        <v>136</v>
      </c>
      <c r="S10" s="111"/>
      <c r="BU10" s="375" t="s">
        <v>137</v>
      </c>
      <c r="BV10" s="375" t="s">
        <v>138</v>
      </c>
      <c r="BX10" s="376" t="s">
        <v>139</v>
      </c>
      <c r="BZ10" s="377" t="s">
        <v>139</v>
      </c>
      <c r="CB10" s="377" t="s">
        <v>139</v>
      </c>
      <c r="CD10" s="377" t="s">
        <v>139</v>
      </c>
    </row>
    <row r="11" spans="1:82" x14ac:dyDescent="0.4">
      <c r="B11" s="135" t="s">
        <v>140</v>
      </c>
      <c r="C11" s="136"/>
      <c r="D11" s="137">
        <f>SUM(D12:D22)</f>
        <v>55806</v>
      </c>
      <c r="E11" s="137">
        <f>SUM(E12:E22)</f>
        <v>1226862</v>
      </c>
      <c r="F11" s="138"/>
      <c r="G11" s="139"/>
      <c r="H11" s="132"/>
      <c r="I11" s="133"/>
      <c r="J11" s="137">
        <f>SUM(J12:J22)</f>
        <v>88165</v>
      </c>
      <c r="K11" s="139"/>
      <c r="L11" s="139"/>
      <c r="M11" s="140"/>
      <c r="N11" s="137">
        <f>SUM(N12:N22)</f>
        <v>74262</v>
      </c>
      <c r="O11" s="139"/>
      <c r="P11" s="139"/>
      <c r="Q11" s="140"/>
      <c r="R11" s="137">
        <f t="shared" ref="R11:R22" si="0">(J11*$L$7)+(N11*$P$7)</f>
        <v>2339084</v>
      </c>
      <c r="S11" s="111"/>
      <c r="BU11" s="3"/>
      <c r="BV11" s="3"/>
      <c r="BX11" s="4"/>
      <c r="BZ11" s="4"/>
      <c r="CB11" s="4"/>
      <c r="CD11" s="378"/>
    </row>
    <row r="12" spans="1:82" x14ac:dyDescent="0.4">
      <c r="A12" s="141"/>
      <c r="B12" s="142" t="s">
        <v>141</v>
      </c>
      <c r="C12" s="49"/>
      <c r="D12" s="143">
        <f>'Fabric Working Model-Avg'!H362</f>
        <v>288</v>
      </c>
      <c r="E12" s="143" cm="1">
        <f t="array" ref="E12">_xlfn.SWITCH(ToggleValue,"Monthly",'Fabric Working Model-Avg'!J362,"Weekly",'Fabric Working Model-Avg'!I362)</f>
        <v>8736</v>
      </c>
      <c r="F12" s="32" t="str">
        <f>BU12</f>
        <v>F2</v>
      </c>
      <c r="G12" s="144" cm="1">
        <f t="array" ref="G12">_xlfn.SWITCH(ToggleValue,"Monthly",IFERROR(E12/VLOOKUP(F12,FabricMapping!$F$11:$J$21,5,0),0),"Weekly",IFERROR(E12/VLOOKUP(F12,FabricMapping!$F$11:$J$21,4,0),0))</f>
        <v>0.1</v>
      </c>
      <c r="H12" s="145"/>
      <c r="I12" s="146"/>
      <c r="J12" s="143">
        <f>'Fabric Working Model-Peak'!H362</f>
        <v>7290</v>
      </c>
      <c r="K12" s="147" t="str">
        <f>IF(J12=0,"-",VLOOKUP(J12,FabricMapping!$C$11:$F$21,4,1))</f>
        <v>F8</v>
      </c>
      <c r="L12" s="144">
        <f>IFERROR(J12/VLOOKUP(K12,FabricMapping!$F$11:$J$21,3,0),0)</f>
        <v>0.6328125</v>
      </c>
      <c r="M12" s="148"/>
      <c r="N12" s="143">
        <f>'Fabric Working Model-Lean'!H362</f>
        <v>7275</v>
      </c>
      <c r="O12" s="147" t="str">
        <f>IF(N12=0,"-",VLOOKUP(N12,FabricMapping!$C$11:$F$21,4,1))</f>
        <v>F8</v>
      </c>
      <c r="P12" s="144">
        <f>IFERROR(N12/VLOOKUP(O12,FabricMapping!$F$11:$J$21,3,0),0)</f>
        <v>0.63151041666666663</v>
      </c>
      <c r="Q12" s="148"/>
      <c r="R12" s="143">
        <f t="shared" si="0"/>
        <v>218370</v>
      </c>
      <c r="S12" s="84"/>
      <c r="T12" s="141"/>
      <c r="BU12" s="5" t="str" cm="1">
        <f t="array" ref="BU12">_xlfn.SWITCH(ToggleValue,"Monthly",IF(D12=0,"-",VLOOKUP(E12,FabricMapping!$E$11:$F$21,2,1)),"Weekly",IF(D12=0,"-",VLOOKUP(E12,FabricMapping!$D$11:$F$21,3,1)))</f>
        <v>F2</v>
      </c>
      <c r="BV12" s="5" t="str" cm="1">
        <f t="array" ref="BV12">_xlfn.SWITCH(ToggleValue,"Monthly",IF(BU12="F2048",BU12,IF(IFERROR(E12/VLOOKUP(BU12,FabricMapping!$F$11:$J$21,5,0),0)&gt;=$D$6,"F"&amp;_xlfn.NUMBERVALUE(RIGHT(BU12,LEN(BU12)-1))*2,"")),"Weekly",IF(BU12="F2048",BU12,IF(IFERROR(E12/VLOOKUP(BU12,FabricMapping!$F$11:$J$21,4,0),0)&gt;=$D$6,"F"&amp;_xlfn.NUMBERVALUE(RIGHT(BU12,LEN(BU12)-1))*2,"")))</f>
        <v/>
      </c>
      <c r="BX12" s="24" cm="1">
        <f t="array" ref="BX12">_xlfn.SWITCH(ToggleValue,"Monthly",IFERROR(VLOOKUP(F12,FabricMapping!$F$11:$J$21,5,0)*Cost_Setup!$F$7/60,0),"Weekly",IFERROR(VLOOKUP(F12,FabricMapping!$F$11:$J$21,4,0)*Cost_Setup!$F$7/60,0))</f>
        <v>262.08</v>
      </c>
      <c r="BZ12" s="26">
        <f>IFERROR(VLOOKUP(K12,FabricMapping!$F$11:$J$243,3,0)*Cost_Setup!$F$7/60,0)</f>
        <v>34.559999999999995</v>
      </c>
      <c r="CB12" s="26">
        <f>IFERROR(VLOOKUP(O12,FabricMapping!$F$11:$J$243,3,0)*Cost_Setup!$F$7/60,0)</f>
        <v>34.559999999999995</v>
      </c>
      <c r="CD12" s="26">
        <f t="shared" ref="CD12:CD22" si="1">(BZ12*$L$7)+(CB12*$P$7)</f>
        <v>1036.8</v>
      </c>
    </row>
    <row r="13" spans="1:82" x14ac:dyDescent="0.4">
      <c r="B13" s="142" t="s">
        <v>142</v>
      </c>
      <c r="C13" s="49"/>
      <c r="D13" s="143">
        <f>'Fabric Working Model-Avg'!H363</f>
        <v>134</v>
      </c>
      <c r="E13" s="143" cm="1">
        <f t="array" ref="E13">_xlfn.SWITCH(ToggleValue,"Monthly",'Fabric Working Model-Avg'!J363,"Weekly",'Fabric Working Model-Avg'!I363)</f>
        <v>4064.6666666666665</v>
      </c>
      <c r="F13" s="32" t="str">
        <f t="shared" ref="F13:F22" si="2">BU13</f>
        <v>F2</v>
      </c>
      <c r="G13" s="144" cm="1">
        <f t="array" ref="G13">_xlfn.SWITCH(ToggleValue,"Monthly",IFERROR(E13/VLOOKUP(F13,FabricMapping!$F$11:$J$21,5,0),0),"Weekly",IFERROR(E13/VLOOKUP(F13,FabricMapping!$F$11:$J$21,4,0),0))</f>
        <v>4.6527777777777779E-2</v>
      </c>
      <c r="H13" s="132"/>
      <c r="I13" s="133"/>
      <c r="J13" s="143">
        <f>'Fabric Working Model-Peak'!H363</f>
        <v>1224</v>
      </c>
      <c r="K13" s="147" t="str">
        <f>IF(J13=0,"-",VLOOKUP(J13,FabricMapping!$C$11:$F$21,4,1))</f>
        <v>F2</v>
      </c>
      <c r="L13" s="144">
        <f>IFERROR(J13/VLOOKUP(K13,FabricMapping!$F$11:$J$21,3,0),0)</f>
        <v>0.42499999999999999</v>
      </c>
      <c r="M13" s="134"/>
      <c r="N13" s="143">
        <f>'Fabric Working Model-Lean'!H363</f>
        <v>1209</v>
      </c>
      <c r="O13" s="147" t="str">
        <f>IF(N13=0,"-",VLOOKUP(N13,FabricMapping!$C$11:$F$21,4,1))</f>
        <v>F2</v>
      </c>
      <c r="P13" s="144">
        <f>IFERROR(N13/VLOOKUP(O13,FabricMapping!$F$11:$J$21,3,0),0)</f>
        <v>0.41979166666666667</v>
      </c>
      <c r="Q13" s="134"/>
      <c r="R13" s="143">
        <f t="shared" si="0"/>
        <v>36390</v>
      </c>
      <c r="S13" s="111"/>
      <c r="BU13" s="5" t="str" cm="1">
        <f t="array" ref="BU13">_xlfn.SWITCH(ToggleValue,"Monthly",IF(D13=0,"-",VLOOKUP(E13,FabricMapping!$E$11:$F$21,2,1)),"Weekly",IF(D13=0,"-",VLOOKUP(E13,FabricMapping!$D$11:$F$21,3,1)))</f>
        <v>F2</v>
      </c>
      <c r="BV13" s="5" t="str" cm="1">
        <f t="array" ref="BV13">_xlfn.SWITCH(ToggleValue,"Monthly",IF(BU13="F2048",BU13,IF(IFERROR(E13/VLOOKUP(BU13,FabricMapping!$F$11:$J$21,5,0),0)&gt;=$D$6,"F"&amp;_xlfn.NUMBERVALUE(RIGHT(BU13,LEN(BU13)-1))*2,"")),"Weekly",IF(BU13="F2048",BU13,IF(IFERROR(E13/VLOOKUP(BU13,FabricMapping!$F$11:$J$21,4,0),0)&gt;=$D$6,"F"&amp;_xlfn.NUMBERVALUE(RIGHT(BU13,LEN(BU13)-1))*2,"")))</f>
        <v/>
      </c>
      <c r="BX13" s="24" cm="1">
        <f t="array" ref="BX13">_xlfn.SWITCH(ToggleValue,"Monthly",IFERROR(VLOOKUP(F13,FabricMapping!$F$11:$J$21,5,0)*Cost_Setup!$F$7/60,0),"Weekly",IFERROR(VLOOKUP(F13,FabricMapping!$F$11:$J$21,4,0)*Cost_Setup!$F$7/60,0))</f>
        <v>262.08</v>
      </c>
      <c r="BZ13" s="26">
        <f>IFERROR(VLOOKUP(K13,FabricMapping!$F$11:$J$243,3,0)*Cost_Setup!$F$7/60,0)</f>
        <v>8.6399999999999988</v>
      </c>
      <c r="CB13" s="26">
        <f>IFERROR(VLOOKUP(O13,FabricMapping!$F$11:$J$243,3,0)*Cost_Setup!$F$7/60,0)</f>
        <v>8.6399999999999988</v>
      </c>
      <c r="CD13" s="26">
        <f t="shared" si="1"/>
        <v>259.2</v>
      </c>
    </row>
    <row r="14" spans="1:82" x14ac:dyDescent="0.4">
      <c r="B14" s="142" t="s">
        <v>143</v>
      </c>
      <c r="C14" s="49"/>
      <c r="D14" s="143">
        <f>'Fabric Working Model-Avg'!H364</f>
        <v>276</v>
      </c>
      <c r="E14" s="143" cm="1">
        <f t="array" ref="E14">_xlfn.SWITCH(ToggleValue,"Monthly",'Fabric Working Model-Avg'!J364,"Weekly",'Fabric Working Model-Avg'!I364)</f>
        <v>8372</v>
      </c>
      <c r="F14" s="32" t="str">
        <f t="shared" si="2"/>
        <v>F2</v>
      </c>
      <c r="G14" s="144" cm="1">
        <f t="array" ref="G14">_xlfn.SWITCH(ToggleValue,"Monthly",IFERROR(E14/VLOOKUP(F14,FabricMapping!$F$11:$J$21,5,0),0),"Weekly",IFERROR(E14/VLOOKUP(F14,FabricMapping!$F$11:$J$21,4,0),0))</f>
        <v>9.583333333333334E-2</v>
      </c>
      <c r="H14" s="132"/>
      <c r="I14" s="133"/>
      <c r="J14" s="143">
        <f>'Fabric Working Model-Peak'!H364</f>
        <v>1318</v>
      </c>
      <c r="K14" s="147" t="str">
        <f>IF(J14=0,"-",VLOOKUP(J14,FabricMapping!$C$11:$F$21,4,1))</f>
        <v>F2</v>
      </c>
      <c r="L14" s="144">
        <f>IFERROR(J14/VLOOKUP(K14,FabricMapping!$F$11:$J$21,3,0),0)</f>
        <v>0.45763888888888887</v>
      </c>
      <c r="M14" s="134"/>
      <c r="N14" s="143">
        <f>'Fabric Working Model-Lean'!H364</f>
        <v>1284</v>
      </c>
      <c r="O14" s="147" t="str">
        <f>IF(N14=0,"-",VLOOKUP(N14,FabricMapping!$C$11:$F$21,4,1))</f>
        <v>F2</v>
      </c>
      <c r="P14" s="144">
        <f>IFERROR(N14/VLOOKUP(O14,FabricMapping!$F$11:$J$21,3,0),0)</f>
        <v>0.44583333333333336</v>
      </c>
      <c r="Q14" s="134"/>
      <c r="R14" s="143">
        <f t="shared" si="0"/>
        <v>38792</v>
      </c>
      <c r="S14" s="111"/>
      <c r="BU14" s="5" t="str" cm="1">
        <f t="array" ref="BU14">_xlfn.SWITCH(ToggleValue,"Monthly",IF(D14=0,"-",VLOOKUP(E14,FabricMapping!$E$11:$F$21,2,1)),"Weekly",IF(D14=0,"-",VLOOKUP(E14,FabricMapping!$D$11:$F$21,3,1)))</f>
        <v>F2</v>
      </c>
      <c r="BV14" s="5" t="str" cm="1">
        <f t="array" ref="BV14">_xlfn.SWITCH(ToggleValue,"Monthly",IF(BU14="F2048",BU14,IF(IFERROR(E14/VLOOKUP(BU14,FabricMapping!$F$11:$J$21,5,0),0)&gt;=$D$6,"F"&amp;_xlfn.NUMBERVALUE(RIGHT(BU14,LEN(BU14)-1))*2,"")),"Weekly",IF(BU14="F2048",BU14,IF(IFERROR(E14/VLOOKUP(BU14,FabricMapping!$F$11:$J$21,4,0),0)&gt;=$D$6,"F"&amp;_xlfn.NUMBERVALUE(RIGHT(BU14,LEN(BU14)-1))*2,"")))</f>
        <v/>
      </c>
      <c r="BX14" s="24" cm="1">
        <f t="array" ref="BX14">_xlfn.SWITCH(ToggleValue,"Monthly",IFERROR(VLOOKUP(F14,FabricMapping!$F$11:$J$21,5,0)*Cost_Setup!$F$7/60,0),"Weekly",IFERROR(VLOOKUP(F14,FabricMapping!$F$11:$J$21,4,0)*Cost_Setup!$F$7/60,0))</f>
        <v>262.08</v>
      </c>
      <c r="BZ14" s="26">
        <f>IFERROR(VLOOKUP(K14,FabricMapping!$F$11:$J$243,3,0)*Cost_Setup!$F$7/60,0)</f>
        <v>8.6399999999999988</v>
      </c>
      <c r="CB14" s="26">
        <f>IFERROR(VLOOKUP(O14,FabricMapping!$F$11:$J$243,3,0)*Cost_Setup!$F$7/60,0)</f>
        <v>8.6399999999999988</v>
      </c>
      <c r="CD14" s="26">
        <f t="shared" si="1"/>
        <v>259.2</v>
      </c>
    </row>
    <row r="15" spans="1:82" x14ac:dyDescent="0.4">
      <c r="B15" s="142" t="s">
        <v>144</v>
      </c>
      <c r="C15" s="49"/>
      <c r="D15" s="143">
        <f>'Fabric Working Model-Avg'!H365</f>
        <v>1348</v>
      </c>
      <c r="E15" s="143" cm="1">
        <f t="array" ref="E15">_xlfn.SWITCH(ToggleValue,"Monthly",'Fabric Working Model-Avg'!J365,"Weekly",'Fabric Working Model-Avg'!I365)</f>
        <v>40889.333333333336</v>
      </c>
      <c r="F15" s="32" t="str">
        <f t="shared" si="2"/>
        <v>F2</v>
      </c>
      <c r="G15" s="144" cm="1">
        <f t="array" ref="G15">_xlfn.SWITCH(ToggleValue,"Monthly",IFERROR(E15/VLOOKUP(F15,FabricMapping!$F$11:$J$21,5,0),0),"Weekly",IFERROR(E15/VLOOKUP(F15,FabricMapping!$F$11:$J$21,4,0),0))</f>
        <v>0.46805555555555556</v>
      </c>
      <c r="H15" s="132"/>
      <c r="I15" s="133"/>
      <c r="J15" s="143">
        <f>'Fabric Working Model-Peak'!H365</f>
        <v>6715</v>
      </c>
      <c r="K15" s="147" t="str">
        <f>IF(J15=0,"-",VLOOKUP(J15,FabricMapping!$C$11:$F$21,4,1))</f>
        <v>F8</v>
      </c>
      <c r="L15" s="144">
        <f>IFERROR(J15/VLOOKUP(K15,FabricMapping!$F$11:$J$21,3,0),0)</f>
        <v>0.58289930555555558</v>
      </c>
      <c r="M15" s="134"/>
      <c r="N15" s="143">
        <f>'Fabric Working Model-Lean'!H365</f>
        <v>6700</v>
      </c>
      <c r="O15" s="147" t="str">
        <f>IF(N15=0,"-",VLOOKUP(N15,FabricMapping!$C$11:$F$21,4,1))</f>
        <v>F8</v>
      </c>
      <c r="P15" s="144">
        <f>IFERROR(N15/VLOOKUP(O15,FabricMapping!$F$11:$J$21,3,0),0)</f>
        <v>0.58159722222222221</v>
      </c>
      <c r="Q15" s="134"/>
      <c r="R15" s="143">
        <f t="shared" si="0"/>
        <v>201120</v>
      </c>
      <c r="S15" s="111"/>
      <c r="BU15" s="5" t="str" cm="1">
        <f t="array" ref="BU15">_xlfn.SWITCH(ToggleValue,"Monthly",IF(D15=0,"-",VLOOKUP(E15,FabricMapping!$E$11:$F$21,2,1)),"Weekly",IF(D15=0,"-",VLOOKUP(E15,FabricMapping!$D$11:$F$21,3,1)))</f>
        <v>F2</v>
      </c>
      <c r="BV15" s="5" t="str" cm="1">
        <f t="array" ref="BV15">_xlfn.SWITCH(ToggleValue,"Monthly",IF(BU15="F2048",BU15,IF(IFERROR(E15/VLOOKUP(BU15,FabricMapping!$F$11:$J$21,5,0),0)&gt;=$D$6,"F"&amp;_xlfn.NUMBERVALUE(RIGHT(BU15,LEN(BU15)-1))*2,"")),"Weekly",IF(BU15="F2048",BU15,IF(IFERROR(E15/VLOOKUP(BU15,FabricMapping!$F$11:$J$21,4,0),0)&gt;=$D$6,"F"&amp;_xlfn.NUMBERVALUE(RIGHT(BU15,LEN(BU15)-1))*2,"")))</f>
        <v/>
      </c>
      <c r="BX15" s="24" cm="1">
        <f t="array" ref="BX15">_xlfn.SWITCH(ToggleValue,"Monthly",IFERROR(VLOOKUP(F15,FabricMapping!$F$11:$J$21,5,0)*Cost_Setup!$F$7/60,0),"Weekly",IFERROR(VLOOKUP(F15,FabricMapping!$F$11:$J$21,4,0)*Cost_Setup!$F$7/60,0))</f>
        <v>262.08</v>
      </c>
      <c r="BZ15" s="26">
        <f>IFERROR(VLOOKUP(K15,FabricMapping!$F$11:$J$243,3,0)*Cost_Setup!$F$7/60,0)</f>
        <v>34.559999999999995</v>
      </c>
      <c r="CB15" s="26">
        <f>IFERROR(VLOOKUP(O15,FabricMapping!$F$11:$J$243,3,0)*Cost_Setup!$F$7/60,0)</f>
        <v>34.559999999999995</v>
      </c>
      <c r="CD15" s="26">
        <f t="shared" si="1"/>
        <v>1036.8</v>
      </c>
    </row>
    <row r="16" spans="1:82" x14ac:dyDescent="0.4">
      <c r="B16" s="142" t="s">
        <v>145</v>
      </c>
      <c r="C16" s="49"/>
      <c r="D16" s="143">
        <f>'Fabric Working Model-Avg'!H366</f>
        <v>30720</v>
      </c>
      <c r="E16" s="143" cm="1">
        <f t="array" ref="E16">_xlfn.SWITCH(ToggleValue,"Monthly",'Fabric Working Model-Avg'!J366,"Weekly",'Fabric Working Model-Avg'!I366)</f>
        <v>665600</v>
      </c>
      <c r="F16" s="32" t="str">
        <f t="shared" si="2"/>
        <v>F16</v>
      </c>
      <c r="G16" s="144" cm="1">
        <f t="array" ref="G16">_xlfn.SWITCH(ToggleValue,"Monthly",IFERROR(E16/VLOOKUP(F16,FabricMapping!$F$11:$J$21,5,0),0),"Weekly",IFERROR(E16/VLOOKUP(F16,FabricMapping!$F$11:$J$21,4,0),0))</f>
        <v>0.95238095238095233</v>
      </c>
      <c r="H16" s="132"/>
      <c r="I16" s="133"/>
      <c r="J16" s="143">
        <f>'Fabric Working Model-Peak'!H366</f>
        <v>7680</v>
      </c>
      <c r="K16" s="147" t="str">
        <f>IF(J16=0,"-",VLOOKUP(J16,FabricMapping!$C$11:$F$21,4,1))</f>
        <v>F8</v>
      </c>
      <c r="L16" s="144">
        <f>IFERROR(J16/VLOOKUP(K16,FabricMapping!$F$11:$J$21,3,0),0)</f>
        <v>0.66666666666666663</v>
      </c>
      <c r="M16" s="134"/>
      <c r="N16" s="143">
        <f>'Fabric Working Model-Lean'!H366</f>
        <v>1536</v>
      </c>
      <c r="O16" s="147" t="str">
        <f>IF(N16=0,"-",VLOOKUP(N16,FabricMapping!$C$11:$F$21,4,1))</f>
        <v>F2</v>
      </c>
      <c r="P16" s="144">
        <f>IFERROR(N16/VLOOKUP(O16,FabricMapping!$F$11:$J$21,3,0),0)</f>
        <v>0.53333333333333333</v>
      </c>
      <c r="Q16" s="134"/>
      <c r="R16" s="143">
        <f t="shared" si="0"/>
        <v>95232</v>
      </c>
      <c r="S16" s="111"/>
      <c r="BU16" s="5" t="str" cm="1">
        <f t="array" ref="BU16">_xlfn.SWITCH(ToggleValue,"Monthly",IF(D16=0,"-",VLOOKUP(E16,FabricMapping!$E$11:$F$21,2,1)),"Weekly",IF(D16=0,"-",VLOOKUP(E16,FabricMapping!$D$11:$F$21,3,1)))</f>
        <v>F16</v>
      </c>
      <c r="BV16" s="5" t="str" cm="1">
        <f t="array" ref="BV16">_xlfn.SWITCH(ToggleValue,"Monthly",IF(BU16="F2048",BU16,IF(IFERROR(E16/VLOOKUP(BU16,FabricMapping!$F$11:$J$21,5,0),0)&gt;=$D$6,"F"&amp;_xlfn.NUMBERVALUE(RIGHT(BU16,LEN(BU16)-1))*2,"")),"Weekly",IF(BU16="F2048",BU16,IF(IFERROR(E16/VLOOKUP(BU16,FabricMapping!$F$11:$J$21,4,0),0)&gt;=$D$6,"F"&amp;_xlfn.NUMBERVALUE(RIGHT(BU16,LEN(BU16)-1))*2,"")))</f>
        <v>F32</v>
      </c>
      <c r="BX16" s="24" cm="1">
        <f t="array" ref="BX16">_xlfn.SWITCH(ToggleValue,"Monthly",IFERROR(VLOOKUP(F16,FabricMapping!$F$11:$J$21,5,0)*Cost_Setup!$F$7/60,0),"Weekly",IFERROR(VLOOKUP(F16,FabricMapping!$F$11:$J$21,4,0)*Cost_Setup!$F$7/60,0))</f>
        <v>2096.64</v>
      </c>
      <c r="BZ16" s="26">
        <f>IFERROR(VLOOKUP(K16,FabricMapping!$F$11:$J$243,3,0)*Cost_Setup!$F$7/60,0)</f>
        <v>34.559999999999995</v>
      </c>
      <c r="CB16" s="26">
        <f>IFERROR(VLOOKUP(O16,FabricMapping!$F$11:$J$243,3,0)*Cost_Setup!$F$7/60,0)</f>
        <v>8.6399999999999988</v>
      </c>
      <c r="CD16" s="26">
        <f t="shared" si="1"/>
        <v>466.55999999999995</v>
      </c>
    </row>
    <row r="17" spans="1:82" x14ac:dyDescent="0.4">
      <c r="B17" s="142" t="s">
        <v>146</v>
      </c>
      <c r="C17" s="49"/>
      <c r="D17" s="143">
        <f>'Fabric Working Model-Avg'!H367</f>
        <v>23040.000000000004</v>
      </c>
      <c r="E17" s="143" cm="1">
        <f t="array" ref="E17">_xlfn.SWITCH(ToggleValue,"Monthly",'Fabric Working Model-Avg'!J367,"Weekly",'Fabric Working Model-Avg'!I367)</f>
        <v>499200.00000000006</v>
      </c>
      <c r="F17" s="32" t="str">
        <f t="shared" si="2"/>
        <v>F16</v>
      </c>
      <c r="G17" s="144" cm="1">
        <f t="array" ref="G17">_xlfn.SWITCH(ToggleValue,"Monthly",IFERROR(E17/VLOOKUP(F17,FabricMapping!$F$11:$J$21,5,0),0),"Weekly",IFERROR(E17/VLOOKUP(F17,FabricMapping!$F$11:$J$21,4,0),0))</f>
        <v>0.71428571428571441</v>
      </c>
      <c r="H17" s="132"/>
      <c r="I17" s="133"/>
      <c r="J17" s="143">
        <f>'Fabric Working Model-Peak'!H367</f>
        <v>15360.000000000002</v>
      </c>
      <c r="K17" s="147" t="str">
        <f>IF(J17=0,"-",VLOOKUP(J17,FabricMapping!$C$11:$F$21,4,1))</f>
        <v>F16</v>
      </c>
      <c r="L17" s="144">
        <f>IFERROR(J17/VLOOKUP(K17,FabricMapping!$F$11:$J$21,3,0),0)</f>
        <v>0.66666666666666674</v>
      </c>
      <c r="M17" s="134"/>
      <c r="N17" s="143">
        <f>'Fabric Working Model-Lean'!H367</f>
        <v>1920.0000000000002</v>
      </c>
      <c r="O17" s="147" t="str">
        <f>IF(N17=0,"-",VLOOKUP(N17,FabricMapping!$C$11:$F$21,4,1))</f>
        <v>F2</v>
      </c>
      <c r="P17" s="144">
        <f>IFERROR(N17/VLOOKUP(O17,FabricMapping!$F$11:$J$21,3,0),0)</f>
        <v>0.66666666666666674</v>
      </c>
      <c r="Q17" s="134"/>
      <c r="R17" s="143">
        <f t="shared" si="0"/>
        <v>165120.00000000003</v>
      </c>
      <c r="S17" s="111"/>
      <c r="BU17" s="5" t="str" cm="1">
        <f t="array" ref="BU17">_xlfn.SWITCH(ToggleValue,"Monthly",IF(D17=0,"-",VLOOKUP(E17,FabricMapping!$E$11:$F$21,2,1)),"Weekly",IF(D17=0,"-",VLOOKUP(E17,FabricMapping!$D$11:$F$21,3,1)))</f>
        <v>F16</v>
      </c>
      <c r="BV17" s="5" t="str" cm="1">
        <f t="array" ref="BV17">_xlfn.SWITCH(ToggleValue,"Monthly",IF(BU17="F2048",BU17,IF(IFERROR(E17/VLOOKUP(BU17,FabricMapping!$F$11:$J$21,5,0),0)&gt;=$D$6,"F"&amp;_xlfn.NUMBERVALUE(RIGHT(BU17,LEN(BU17)-1))*2,"")),"Weekly",IF(BU17="F2048",BU17,IF(IFERROR(E17/VLOOKUP(BU17,FabricMapping!$F$11:$J$21,4,0),0)&gt;=$D$6,"F"&amp;_xlfn.NUMBERVALUE(RIGHT(BU17,LEN(BU17)-1))*2,"")))</f>
        <v/>
      </c>
      <c r="BX17" s="24" cm="1">
        <f t="array" ref="BX17">_xlfn.SWITCH(ToggleValue,"Monthly",IFERROR(VLOOKUP(F17,FabricMapping!$F$11:$J$21,5,0)*Cost_Setup!$F$7/60,0),"Weekly",IFERROR(VLOOKUP(F17,FabricMapping!$F$11:$J$21,4,0)*Cost_Setup!$F$7/60,0))</f>
        <v>2096.64</v>
      </c>
      <c r="BZ17" s="26">
        <f>IFERROR(VLOOKUP(K17,FabricMapping!$F$11:$J$243,3,0)*Cost_Setup!$F$7/60,0)</f>
        <v>69.11999999999999</v>
      </c>
      <c r="CB17" s="26">
        <f>IFERROR(VLOOKUP(O17,FabricMapping!$F$11:$J$243,3,0)*Cost_Setup!$F$7/60,0)</f>
        <v>8.6399999999999988</v>
      </c>
      <c r="CD17" s="26">
        <f t="shared" si="1"/>
        <v>743.04</v>
      </c>
    </row>
    <row r="18" spans="1:82" x14ac:dyDescent="0.4">
      <c r="B18" s="142" t="s">
        <v>147</v>
      </c>
      <c r="C18" s="49"/>
      <c r="D18" s="143">
        <f>'Fabric Working Model-Avg'!H368</f>
        <v>0</v>
      </c>
      <c r="E18" s="143" cm="1">
        <f t="array" ref="E18">_xlfn.SWITCH(ToggleValue,"Monthly",'Fabric Working Model-Avg'!J368,"Weekly",'Fabric Working Model-Avg'!I368)</f>
        <v>0</v>
      </c>
      <c r="F18" s="32" t="str">
        <f t="shared" si="2"/>
        <v>-</v>
      </c>
      <c r="G18" s="144" cm="1">
        <f t="array" ref="G18">_xlfn.SWITCH(ToggleValue,"Monthly",IFERROR(E18/VLOOKUP(F18,FabricMapping!$F$11:$J$21,5,0),0),"Weekly",IFERROR(E18/VLOOKUP(F18,FabricMapping!$F$11:$J$21,4,0),0))</f>
        <v>0</v>
      </c>
      <c r="H18" s="132"/>
      <c r="I18" s="133"/>
      <c r="J18" s="143">
        <f>'Fabric Working Model-Peak'!H368</f>
        <v>7680</v>
      </c>
      <c r="K18" s="147" t="str">
        <f>IF(J18=0,"-",VLOOKUP(J18,FabricMapping!$C$11:$F$21,4,1))</f>
        <v>F8</v>
      </c>
      <c r="L18" s="144">
        <f>IFERROR(J18/VLOOKUP(K18,FabricMapping!$F$11:$J$21,3,0),0)</f>
        <v>0.66666666666666663</v>
      </c>
      <c r="M18" s="134"/>
      <c r="N18" s="143">
        <f>'Fabric Working Model-Lean'!H368</f>
        <v>3840</v>
      </c>
      <c r="O18" s="147" t="str">
        <f>IF(N18=0,"-",VLOOKUP(N18,FabricMapping!$C$11:$F$21,4,1))</f>
        <v>F4</v>
      </c>
      <c r="P18" s="144">
        <f>IFERROR(N18/VLOOKUP(O18,FabricMapping!$F$11:$J$21,3,0),0)</f>
        <v>0.66666666666666663</v>
      </c>
      <c r="Q18" s="134"/>
      <c r="R18" s="143">
        <f t="shared" si="0"/>
        <v>145920</v>
      </c>
      <c r="S18" s="111"/>
      <c r="BU18" s="5" t="str" cm="1">
        <f t="array" ref="BU18">_xlfn.SWITCH(ToggleValue,"Monthly",IF(D18=0,"-",VLOOKUP(E18,FabricMapping!$E$11:$F$21,2,1)),"Weekly",IF(D18=0,"-",VLOOKUP(E18,FabricMapping!$D$11:$F$21,3,1)))</f>
        <v>-</v>
      </c>
      <c r="BV18" s="5" t="str" cm="1">
        <f t="array" ref="BV18">_xlfn.SWITCH(ToggleValue,"Monthly",IF(BU18="F2048",BU18,IF(IFERROR(E18/VLOOKUP(BU18,FabricMapping!$F$11:$J$21,5,0),0)&gt;=$D$6,"F"&amp;_xlfn.NUMBERVALUE(RIGHT(BU18,LEN(BU18)-1))*2,"")),"Weekly",IF(BU18="F2048",BU18,IF(IFERROR(E18/VLOOKUP(BU18,FabricMapping!$F$11:$J$21,4,0),0)&gt;=$D$6,"F"&amp;_xlfn.NUMBERVALUE(RIGHT(BU18,LEN(BU18)-1))*2,"")))</f>
        <v/>
      </c>
      <c r="BX18" s="24" cm="1">
        <f t="array" ref="BX18">_xlfn.SWITCH(ToggleValue,"Monthly",IFERROR(VLOOKUP(F18,FabricMapping!$F$11:$J$21,5,0)*Cost_Setup!$F$7/60,0),"Weekly",IFERROR(VLOOKUP(F18,FabricMapping!$F$11:$J$21,4,0)*Cost_Setup!$F$7/60,0))</f>
        <v>0</v>
      </c>
      <c r="BZ18" s="26">
        <f>IFERROR(VLOOKUP(K18,FabricMapping!$F$11:$J$243,3,0)*Cost_Setup!$F$7/60,0)</f>
        <v>34.559999999999995</v>
      </c>
      <c r="CB18" s="26">
        <f>IFERROR(VLOOKUP(O18,FabricMapping!$F$11:$J$243,3,0)*Cost_Setup!$F$7/60,0)</f>
        <v>17.279999999999998</v>
      </c>
      <c r="CD18" s="26">
        <f t="shared" si="1"/>
        <v>656.63999999999987</v>
      </c>
    </row>
    <row r="19" spans="1:82" x14ac:dyDescent="0.4">
      <c r="B19" s="142" t="s">
        <v>148</v>
      </c>
      <c r="C19" s="49"/>
      <c r="D19" s="143">
        <f>'Fabric Working Model-Avg'!H369</f>
        <v>0</v>
      </c>
      <c r="E19" s="143" cm="1">
        <f t="array" ref="E19">_xlfn.SWITCH(ToggleValue,"Monthly",'Fabric Working Model-Avg'!J369,"Weekly",'Fabric Working Model-Avg'!I369)</f>
        <v>0</v>
      </c>
      <c r="F19" s="32" t="str">
        <f t="shared" si="2"/>
        <v>-</v>
      </c>
      <c r="G19" s="144" cm="1">
        <f t="array" ref="G19">_xlfn.SWITCH(ToggleValue,"Monthly",IFERROR(E19/VLOOKUP(F19,FabricMapping!$F$11:$J$21,5,0),0),"Weekly",IFERROR(E19/VLOOKUP(F19,FabricMapping!$F$11:$J$21,4,0),0))</f>
        <v>0</v>
      </c>
      <c r="H19" s="132"/>
      <c r="I19" s="133"/>
      <c r="J19" s="143">
        <f>'Fabric Working Model-Peak'!H369</f>
        <v>14400</v>
      </c>
      <c r="K19" s="147" t="str">
        <f>IF(J19=0,"-",VLOOKUP(J19,FabricMapping!$C$11:$F$21,4,1))</f>
        <v>F16</v>
      </c>
      <c r="L19" s="144">
        <f>IFERROR(J19/VLOOKUP(K19,FabricMapping!$F$11:$J$21,3,0),0)</f>
        <v>0.625</v>
      </c>
      <c r="M19" s="134"/>
      <c r="N19" s="143">
        <f>'Fabric Working Model-Lean'!H369</f>
        <v>24000</v>
      </c>
      <c r="O19" s="147" t="str">
        <f>IF(N19=0,"-",VLOOKUP(N19,FabricMapping!$C$11:$F$21,4,1))</f>
        <v>F32</v>
      </c>
      <c r="P19" s="144">
        <f>IFERROR(N19/VLOOKUP(O19,FabricMapping!$F$11:$J$21,3,0),0)</f>
        <v>0.52083333333333337</v>
      </c>
      <c r="Q19" s="134"/>
      <c r="R19" s="143">
        <f t="shared" si="0"/>
        <v>643200</v>
      </c>
      <c r="S19" s="111"/>
      <c r="BU19" s="5" t="str" cm="1">
        <f t="array" ref="BU19">_xlfn.SWITCH(ToggleValue,"Monthly",IF(D19=0,"-",VLOOKUP(E19,FabricMapping!$E$11:$F$21,2,1)),"Weekly",IF(D19=0,"-",VLOOKUP(E19,FabricMapping!$D$11:$F$21,3,1)))</f>
        <v>-</v>
      </c>
      <c r="BV19" s="5" t="str" cm="1">
        <f t="array" ref="BV19">_xlfn.SWITCH(ToggleValue,"Monthly",IF(BU19="F2048",BU19,IF(IFERROR(E19/VLOOKUP(BU19,FabricMapping!$F$11:$J$21,5,0),0)&gt;=$D$6,"F"&amp;_xlfn.NUMBERVALUE(RIGHT(BU19,LEN(BU19)-1))*2,"")),"Weekly",IF(BU19="F2048",BU19,IF(IFERROR(E19/VLOOKUP(BU19,FabricMapping!$F$11:$J$21,4,0),0)&gt;=$D$6,"F"&amp;_xlfn.NUMBERVALUE(RIGHT(BU19,LEN(BU19)-1))*2,"")))</f>
        <v/>
      </c>
      <c r="BX19" s="24" cm="1">
        <f t="array" ref="BX19">_xlfn.SWITCH(ToggleValue,"Monthly",IFERROR(VLOOKUP(F19,FabricMapping!$F$11:$J$21,5,0)*Cost_Setup!$F$7/60,0),"Weekly",IFERROR(VLOOKUP(F19,FabricMapping!$F$11:$J$21,4,0)*Cost_Setup!$F$7/60,0))</f>
        <v>0</v>
      </c>
      <c r="BZ19" s="26">
        <f>IFERROR(VLOOKUP(K19,FabricMapping!$F$11:$J$243,3,0)*Cost_Setup!$F$7/60,0)</f>
        <v>69.11999999999999</v>
      </c>
      <c r="CB19" s="26">
        <f>IFERROR(VLOOKUP(O19,FabricMapping!$F$11:$J$243,3,0)*Cost_Setup!$F$7/60,0)</f>
        <v>138.23999999999998</v>
      </c>
      <c r="CD19" s="26">
        <f t="shared" si="1"/>
        <v>3594.24</v>
      </c>
    </row>
    <row r="20" spans="1:82" x14ac:dyDescent="0.4">
      <c r="B20" s="142" t="s">
        <v>149</v>
      </c>
      <c r="C20" s="49"/>
      <c r="D20" s="143">
        <f>'Fabric Working Model-Avg'!H370</f>
        <v>0</v>
      </c>
      <c r="E20" s="143" cm="1">
        <f t="array" ref="E20">_xlfn.SWITCH(ToggleValue,"Monthly",'Fabric Working Model-Avg'!J370,"Weekly",'Fabric Working Model-Avg'!I370)</f>
        <v>0</v>
      </c>
      <c r="F20" s="32" t="str">
        <f t="shared" si="2"/>
        <v>-</v>
      </c>
      <c r="G20" s="144" cm="1">
        <f t="array" ref="G20">_xlfn.SWITCH(ToggleValue,"Monthly",IFERROR(E20/VLOOKUP(F20,FabricMapping!$F$11:$J$21,5,0),0),"Weekly",IFERROR(E20/VLOOKUP(F20,FabricMapping!$F$11:$J$21,4,0),0))</f>
        <v>0</v>
      </c>
      <c r="H20" s="132"/>
      <c r="I20" s="133"/>
      <c r="J20" s="143">
        <f>'Fabric Working Model-Peak'!H370</f>
        <v>17399</v>
      </c>
      <c r="K20" s="147" t="str">
        <f>IF(J20=0,"-",VLOOKUP(J20,FabricMapping!$C$11:$F$21,4,1))</f>
        <v>F16</v>
      </c>
      <c r="L20" s="144">
        <f>IFERROR(J20/VLOOKUP(K20,FabricMapping!$F$11:$J$21,3,0),0)</f>
        <v>0.75516493055555556</v>
      </c>
      <c r="M20" s="134"/>
      <c r="N20" s="143">
        <f>'Fabric Working Model-Lean'!H370</f>
        <v>17399</v>
      </c>
      <c r="O20" s="147" t="str">
        <f>IF(N20=0,"-",VLOOKUP(N20,FabricMapping!$C$11:$F$21,4,1))</f>
        <v>F16</v>
      </c>
      <c r="P20" s="144">
        <f>IFERROR(N20/VLOOKUP(O20,FabricMapping!$F$11:$J$21,3,0),0)</f>
        <v>0.75516493055555556</v>
      </c>
      <c r="Q20" s="134"/>
      <c r="R20" s="143">
        <f t="shared" si="0"/>
        <v>521970</v>
      </c>
      <c r="S20" s="111"/>
      <c r="BU20" s="5" t="str" cm="1">
        <f t="array" ref="BU20">_xlfn.SWITCH(ToggleValue,"Monthly",IF(D20=0,"-",VLOOKUP(E20,FabricMapping!$E$11:$F$21,2,1)),"Weekly",IF(D20=0,"-",VLOOKUP(E20,FabricMapping!$D$11:$F$21,3,1)))</f>
        <v>-</v>
      </c>
      <c r="BV20" s="5" t="str" cm="1">
        <f t="array" ref="BV20">_xlfn.SWITCH(ToggleValue,"Monthly",IF(BU20="F2048",BU20,IF(IFERROR(E20/VLOOKUP(BU20,FabricMapping!$F$11:$J$21,5,0),0)&gt;=$D$6,"F"&amp;_xlfn.NUMBERVALUE(RIGHT(BU20,LEN(BU20)-1))*2,"")),"Weekly",IF(BU20="F2048",BU20,IF(IFERROR(E20/VLOOKUP(BU20,FabricMapping!$F$11:$J$21,4,0),0)&gt;=$D$6,"F"&amp;_xlfn.NUMBERVALUE(RIGHT(BU20,LEN(BU20)-1))*2,"")))</f>
        <v/>
      </c>
      <c r="BX20" s="24" cm="1">
        <f t="array" ref="BX20">_xlfn.SWITCH(ToggleValue,"Monthly",IFERROR(VLOOKUP(F20,FabricMapping!$F$11:$J$21,5,0)*Cost_Setup!$F$7/60,0),"Weekly",IFERROR(VLOOKUP(F20,FabricMapping!$F$11:$J$21,4,0)*Cost_Setup!$F$7/60,0))</f>
        <v>0</v>
      </c>
      <c r="BZ20" s="26">
        <f>IFERROR(VLOOKUP(K20,FabricMapping!$F$11:$J$243,3,0)*Cost_Setup!$F$7/60,0)</f>
        <v>69.11999999999999</v>
      </c>
      <c r="CB20" s="26">
        <f>IFERROR(VLOOKUP(O20,FabricMapping!$F$11:$J$243,3,0)*Cost_Setup!$F$7/60,0)</f>
        <v>69.11999999999999</v>
      </c>
      <c r="CD20" s="26">
        <f t="shared" si="1"/>
        <v>2073.6</v>
      </c>
    </row>
    <row r="21" spans="1:82" x14ac:dyDescent="0.4">
      <c r="B21" s="142" t="s">
        <v>150</v>
      </c>
      <c r="C21" s="49"/>
      <c r="D21" s="143">
        <f>'Fabric Working Model-Avg'!H371</f>
        <v>0</v>
      </c>
      <c r="E21" s="143" cm="1">
        <f t="array" ref="E21">_xlfn.SWITCH(ToggleValue,"Monthly",'Fabric Working Model-Avg'!J371,"Weekly",'Fabric Working Model-Avg'!I371)</f>
        <v>0</v>
      </c>
      <c r="F21" s="32" t="str">
        <f t="shared" si="2"/>
        <v>-</v>
      </c>
      <c r="G21" s="144" cm="1">
        <f t="array" ref="G21">_xlfn.SWITCH(ToggleValue,"Monthly",IFERROR(E21/VLOOKUP(F21,FabricMapping!$F$11:$J$21,5,0),0),"Weekly",IFERROR(E21/VLOOKUP(F21,FabricMapping!$F$11:$J$21,4,0),0))</f>
        <v>0</v>
      </c>
      <c r="H21" s="132"/>
      <c r="I21" s="133"/>
      <c r="J21" s="143">
        <f>'Fabric Working Model-Peak'!H371</f>
        <v>459</v>
      </c>
      <c r="K21" s="147" t="str">
        <f>IF(J21=0,"-",VLOOKUP(J21,FabricMapping!$C$11:$F$21,4,1))</f>
        <v>F2</v>
      </c>
      <c r="L21" s="144">
        <f>IFERROR(J21/VLOOKUP(K21,FabricMapping!$F$11:$J$21,3,0),0)</f>
        <v>0.15937499999999999</v>
      </c>
      <c r="M21" s="134"/>
      <c r="N21" s="143">
        <f>'Fabric Working Model-Lean'!H371</f>
        <v>459</v>
      </c>
      <c r="O21" s="147" t="str">
        <f>IF(N21=0,"-",VLOOKUP(N21,FabricMapping!$C$11:$F$21,4,1))</f>
        <v>F2</v>
      </c>
      <c r="P21" s="144">
        <f>IFERROR(N21/VLOOKUP(O21,FabricMapping!$F$11:$J$21,3,0),0)</f>
        <v>0.15937499999999999</v>
      </c>
      <c r="Q21" s="134"/>
      <c r="R21" s="143">
        <f t="shared" si="0"/>
        <v>13770</v>
      </c>
      <c r="S21" s="111"/>
      <c r="BU21" s="5" t="str" cm="1">
        <f t="array" ref="BU21">_xlfn.SWITCH(ToggleValue,"Monthly",IF(D21=0,"-",VLOOKUP(E21,FabricMapping!$E$11:$F$21,2,1)),"Weekly",IF(D21=0,"-",VLOOKUP(E21,FabricMapping!$D$11:$F$21,3,1)))</f>
        <v>-</v>
      </c>
      <c r="BV21" s="5" t="str" cm="1">
        <f t="array" ref="BV21">_xlfn.SWITCH(ToggleValue,"Monthly",IF(BU21="F2048",BU21,IF(IFERROR(E21/VLOOKUP(BU21,FabricMapping!$F$11:$J$21,5,0),0)&gt;=$D$6,"F"&amp;_xlfn.NUMBERVALUE(RIGHT(BU21,LEN(BU21)-1))*2,"")),"Weekly",IF(BU21="F2048",BU21,IF(IFERROR(E21/VLOOKUP(BU21,FabricMapping!$F$11:$J$21,4,0),0)&gt;=$D$6,"F"&amp;_xlfn.NUMBERVALUE(RIGHT(BU21,LEN(BU21)-1))*2,"")))</f>
        <v/>
      </c>
      <c r="BX21" s="24" cm="1">
        <f t="array" ref="BX21">_xlfn.SWITCH(ToggleValue,"Monthly",IFERROR(VLOOKUP(F21,FabricMapping!$F$11:$J$21,5,0)*Cost_Setup!$F$7/60,0),"Weekly",IFERROR(VLOOKUP(F21,FabricMapping!$F$11:$J$21,4,0)*Cost_Setup!$F$7/60,0))</f>
        <v>0</v>
      </c>
      <c r="BZ21" s="26">
        <f>IFERROR(VLOOKUP(K21,FabricMapping!$F$11:$J$243,3,0)*Cost_Setup!$F$7/60,0)</f>
        <v>8.6399999999999988</v>
      </c>
      <c r="CB21" s="26">
        <f>IFERROR(VLOOKUP(O21,FabricMapping!$F$11:$J$243,3,0)*Cost_Setup!$F$7/60,0)</f>
        <v>8.6399999999999988</v>
      </c>
      <c r="CD21" s="26">
        <f t="shared" si="1"/>
        <v>259.2</v>
      </c>
    </row>
    <row r="22" spans="1:82" x14ac:dyDescent="0.4">
      <c r="B22" s="142" t="s">
        <v>151</v>
      </c>
      <c r="C22" s="49"/>
      <c r="D22" s="143">
        <f>'Fabric Working Model-Avg'!H372</f>
        <v>0</v>
      </c>
      <c r="E22" s="143" cm="1">
        <f t="array" ref="E22">_xlfn.SWITCH(ToggleValue,"Monthly",'Fabric Working Model-Avg'!J372,"Weekly",'Fabric Working Model-Avg'!I372)</f>
        <v>0</v>
      </c>
      <c r="F22" s="32" t="str">
        <f t="shared" si="2"/>
        <v>-</v>
      </c>
      <c r="G22" s="144" cm="1">
        <f t="array" ref="G22">_xlfn.SWITCH(ToggleValue,"Monthly",IFERROR(E22/VLOOKUP(F22,FabricMapping!$F$11:$J$21,5,0),0),"Weekly",IFERROR(E22/VLOOKUP(F22,FabricMapping!$F$11:$J$21,4,0),0))</f>
        <v>0</v>
      </c>
      <c r="H22" s="132"/>
      <c r="I22" s="133"/>
      <c r="J22" s="143">
        <f>'Fabric Working Model-Peak'!H372</f>
        <v>8640</v>
      </c>
      <c r="K22" s="147" t="str">
        <f>IF(J22=0,"-",VLOOKUP(J22,FabricMapping!$C$11:$F$21,4,1))</f>
        <v>F8</v>
      </c>
      <c r="L22" s="144">
        <f>IFERROR(J22/VLOOKUP(K22,FabricMapping!$F$11:$J$21,3,0),0)</f>
        <v>0.75</v>
      </c>
      <c r="M22" s="134"/>
      <c r="N22" s="143">
        <f>'Fabric Working Model-Lean'!H372</f>
        <v>8640</v>
      </c>
      <c r="O22" s="147" t="str">
        <f>IF(N22=0,"-",VLOOKUP(N22,FabricMapping!$C$11:$F$21,4,1))</f>
        <v>F8</v>
      </c>
      <c r="P22" s="144">
        <f>IFERROR(N22/VLOOKUP(O22,FabricMapping!$F$11:$J$21,3,0),0)</f>
        <v>0.75</v>
      </c>
      <c r="Q22" s="134"/>
      <c r="R22" s="143">
        <f t="shared" si="0"/>
        <v>259200</v>
      </c>
      <c r="S22" s="111"/>
      <c r="BU22" s="5" t="str" cm="1">
        <f t="array" ref="BU22">_xlfn.SWITCH(ToggleValue,"Monthly",IF(D22=0,"-",VLOOKUP(E22,FabricMapping!$E$11:$F$21,2,1)),"Weekly",IF(D22=0,"-",VLOOKUP(E22,FabricMapping!$D$11:$F$21,3,1)))</f>
        <v>-</v>
      </c>
      <c r="BV22" s="5" t="str" cm="1">
        <f t="array" ref="BV22">_xlfn.SWITCH(ToggleValue,"Monthly",IF(BU22="F2048",BU22,IF(IFERROR(E22/VLOOKUP(BU22,FabricMapping!$F$11:$J$21,5,0),0)&gt;=$D$6,"F"&amp;_xlfn.NUMBERVALUE(RIGHT(BU22,LEN(BU22)-1))*2,"")),"Weekly",IF(BU22="F2048",BU22,IF(IFERROR(E22/VLOOKUP(BU22,FabricMapping!$F$11:$J$21,4,0),0)&gt;=$D$6,"F"&amp;_xlfn.NUMBERVALUE(RIGHT(BU22,LEN(BU22)-1))*2,"")))</f>
        <v/>
      </c>
      <c r="BX22" s="24" cm="1">
        <f t="array" ref="BX22">_xlfn.SWITCH(ToggleValue,"Monthly",IFERROR(VLOOKUP(F22,FabricMapping!$F$11:$J$21,5,0)*Cost_Setup!$F$7/60,0),"Weekly",IFERROR(VLOOKUP(F22,FabricMapping!$F$11:$J$21,4,0)*Cost_Setup!$F$7/60,0))</f>
        <v>0</v>
      </c>
      <c r="BZ22" s="26">
        <f>IFERROR(VLOOKUP(K22,FabricMapping!$F$11:$J$243,3,0)*Cost_Setup!$F$7/60,0)</f>
        <v>34.559999999999995</v>
      </c>
      <c r="CB22" s="26">
        <f>IFERROR(VLOOKUP(O22,FabricMapping!$F$11:$J$243,3,0)*Cost_Setup!$F$7/60,0)</f>
        <v>34.559999999999995</v>
      </c>
      <c r="CD22" s="26">
        <f t="shared" si="1"/>
        <v>1036.8</v>
      </c>
    </row>
    <row r="23" spans="1:82" s="153" customFormat="1" ht="19.2" x14ac:dyDescent="0.4">
      <c r="A23" s="113"/>
      <c r="B23" s="149" t="s">
        <v>152</v>
      </c>
      <c r="C23" s="136"/>
      <c r="D23" s="150" t="str">
        <f>ToggleValue&amp;" Storage Requirements"</f>
        <v>Monthly Storage Requirements</v>
      </c>
      <c r="E23" s="150"/>
      <c r="F23" s="150"/>
      <c r="G23" s="150"/>
      <c r="H23" s="151"/>
      <c r="I23" s="152"/>
      <c r="J23" s="131"/>
      <c r="K23" s="131"/>
      <c r="L23" s="131"/>
      <c r="M23" s="140"/>
      <c r="N23" s="131"/>
      <c r="O23" s="131"/>
      <c r="P23" s="131"/>
      <c r="Q23" s="140"/>
      <c r="R23" s="131"/>
      <c r="S23" s="49"/>
      <c r="T23" s="113"/>
      <c r="BU23" s="379"/>
      <c r="BV23" s="379"/>
      <c r="BW23" s="380"/>
      <c r="BX23" s="379"/>
      <c r="BY23" s="380"/>
      <c r="BZ23" s="33"/>
      <c r="CA23" s="380"/>
      <c r="CB23" s="33"/>
      <c r="CC23" s="380"/>
      <c r="CD23" s="33"/>
    </row>
    <row r="24" spans="1:82" x14ac:dyDescent="0.4">
      <c r="B24" s="142" t="s">
        <v>153</v>
      </c>
      <c r="C24" s="49"/>
      <c r="D24" s="154"/>
      <c r="E24" s="155" cm="1">
        <f t="array" ref="E24">_xlfn.SWITCH(ToggleValue,"Monthly",'Fabric Working Model-Avg'!H54,"Weekly",'Fabric Working Model-Avg'!H54*12/52)</f>
        <v>1800</v>
      </c>
      <c r="F24" s="154"/>
      <c r="G24" s="154"/>
      <c r="H24" s="132"/>
      <c r="I24" s="133"/>
      <c r="J24" s="155">
        <f>'Fabric Working Model-Peak'!H54*12/52/7</f>
        <v>604.72714285714289</v>
      </c>
      <c r="K24" s="154"/>
      <c r="L24" s="154"/>
      <c r="M24" s="134"/>
      <c r="N24" s="155">
        <f>'Fabric Working Model-Lean'!H54*12/52/7</f>
        <v>604.72714285714289</v>
      </c>
      <c r="O24" s="154"/>
      <c r="P24" s="154"/>
      <c r="Q24" s="134"/>
      <c r="R24" s="156">
        <f>(J24*$L$7)+(N24*$P$7)</f>
        <v>18141.814285714288</v>
      </c>
      <c r="S24" s="111"/>
      <c r="BU24" s="381"/>
      <c r="BV24" s="381"/>
      <c r="BX24" s="25">
        <f>E24*Cost_Setup!$H$7</f>
        <v>41.4</v>
      </c>
      <c r="BZ24" s="34"/>
      <c r="CB24" s="34"/>
      <c r="CD24" s="25">
        <f>R24*Cost_Setup!$H$7</f>
        <v>417.26172857142865</v>
      </c>
    </row>
    <row r="25" spans="1:82" x14ac:dyDescent="0.4">
      <c r="B25" s="142" t="s">
        <v>154</v>
      </c>
      <c r="C25" s="49"/>
      <c r="D25" s="154"/>
      <c r="E25" s="155" cm="1">
        <f t="array" ref="E25">_xlfn.SWITCH(ToggleValue,"Monthly",'Fabric Working Model-Avg'!J54,"Weekly",'Fabric Working Model-Avg'!J54*12/52)</f>
        <v>0</v>
      </c>
      <c r="F25" s="155"/>
      <c r="G25" s="155"/>
      <c r="H25" s="132"/>
      <c r="I25" s="133"/>
      <c r="J25" s="155">
        <f>'Fabric Working Model-Peak'!J54*12/52/7</f>
        <v>0.34723704866562011</v>
      </c>
      <c r="K25" s="154"/>
      <c r="L25" s="154"/>
      <c r="M25" s="134"/>
      <c r="N25" s="155">
        <f>'Fabric Working Model-Lean'!J54*12/52/7</f>
        <v>0.34723704866562011</v>
      </c>
      <c r="O25" s="157"/>
      <c r="P25" s="157"/>
      <c r="Q25" s="134"/>
      <c r="R25" s="156">
        <f>(J25*$L$7)+(N25*$P$7)</f>
        <v>10.417111459968602</v>
      </c>
      <c r="S25" s="111"/>
      <c r="BU25" s="382"/>
      <c r="BV25" s="382"/>
      <c r="BX25" s="25">
        <f>E25*Cost_Setup!$I$7</f>
        <v>0</v>
      </c>
      <c r="BZ25" s="34"/>
      <c r="CB25" s="26"/>
      <c r="CD25" s="25">
        <f>R25*Cost_Setup!$I$7</f>
        <v>2.5626094191522761</v>
      </c>
    </row>
    <row r="26" spans="1:82" x14ac:dyDescent="0.4">
      <c r="B26" s="142" t="s">
        <v>155</v>
      </c>
      <c r="C26" s="49"/>
      <c r="D26" s="154"/>
      <c r="E26" s="155">
        <f>E24</f>
        <v>1800</v>
      </c>
      <c r="F26" s="155"/>
      <c r="G26" s="155"/>
      <c r="H26" s="132"/>
      <c r="I26" s="133"/>
      <c r="J26" s="155">
        <f>J24</f>
        <v>604.72714285714289</v>
      </c>
      <c r="K26" s="154"/>
      <c r="L26" s="154"/>
      <c r="M26" s="134"/>
      <c r="N26" s="155">
        <f>N24</f>
        <v>604.72714285714289</v>
      </c>
      <c r="O26" s="157"/>
      <c r="P26" s="157"/>
      <c r="Q26" s="134"/>
      <c r="R26" s="155">
        <f>R24</f>
        <v>18141.814285714288</v>
      </c>
      <c r="S26" s="111"/>
      <c r="BU26" s="382"/>
      <c r="BV26" s="382"/>
      <c r="BX26" s="25">
        <f>E26*Cost_Setup!$J$7*FabricMapping!$G$46</f>
        <v>74.52</v>
      </c>
      <c r="BZ26" s="34"/>
      <c r="CB26" s="26"/>
      <c r="CD26" s="25">
        <f>R26*Cost_Setup!$J$7*FabricMapping!$G$46</f>
        <v>751.0711114285715</v>
      </c>
    </row>
    <row r="27" spans="1:82" s="153" customFormat="1" ht="19.2" x14ac:dyDescent="0.4">
      <c r="A27" s="113"/>
      <c r="B27" s="149" t="s">
        <v>145</v>
      </c>
      <c r="C27" s="136"/>
      <c r="D27" s="150" t="s">
        <v>156</v>
      </c>
      <c r="E27" s="150"/>
      <c r="F27" s="150"/>
      <c r="G27" s="150"/>
      <c r="H27" s="151"/>
      <c r="I27" s="152"/>
      <c r="J27" s="131"/>
      <c r="K27" s="131"/>
      <c r="L27" s="131"/>
      <c r="M27" s="140"/>
      <c r="N27" s="131"/>
      <c r="O27" s="131"/>
      <c r="P27" s="131"/>
      <c r="Q27" s="140"/>
      <c r="R27" s="131"/>
      <c r="S27" s="49"/>
      <c r="T27" s="113"/>
      <c r="BU27" s="379"/>
      <c r="BV27" s="379"/>
      <c r="BW27" s="380"/>
      <c r="BX27" s="379"/>
      <c r="BY27" s="380"/>
      <c r="BZ27" s="33"/>
      <c r="CA27" s="380"/>
      <c r="CB27" s="33"/>
      <c r="CC27" s="380"/>
      <c r="CD27" s="33"/>
    </row>
    <row r="28" spans="1:82" x14ac:dyDescent="0.4">
      <c r="B28" s="142" t="s">
        <v>157</v>
      </c>
      <c r="C28" s="49"/>
      <c r="D28" s="158"/>
      <c r="E28" s="159">
        <f>'Fabric Working Model-Avg'!$G$222</f>
        <v>0</v>
      </c>
      <c r="F28" s="157"/>
      <c r="G28" s="160"/>
      <c r="H28" s="132"/>
      <c r="I28" s="133"/>
      <c r="J28" s="161">
        <f>'Fabric Working Model-Peak'!$G$222</f>
        <v>750</v>
      </c>
      <c r="K28" s="160"/>
      <c r="L28" s="160"/>
      <c r="M28" s="134"/>
      <c r="N28" s="161">
        <f>'Fabric Working Model-Lean'!G222</f>
        <v>550</v>
      </c>
      <c r="O28" s="160"/>
      <c r="P28" s="160"/>
      <c r="Q28" s="134"/>
      <c r="R28" s="159">
        <f>MAX(J28,N28)</f>
        <v>750</v>
      </c>
      <c r="S28" s="111"/>
      <c r="BU28" s="6"/>
      <c r="BV28" s="6"/>
      <c r="BX28" s="25">
        <f>'Fabric Working Model-Avg'!$H$222</f>
        <v>0</v>
      </c>
      <c r="BZ28" s="25">
        <f>'Fabric Working Model-Peak'!$H$222</f>
        <v>7500</v>
      </c>
      <c r="CB28" s="25">
        <f>'Fabric Working Model-Lean'!$H$222</f>
        <v>5500</v>
      </c>
      <c r="CD28" s="25">
        <f>MAX(BZ28,CB28)</f>
        <v>7500</v>
      </c>
    </row>
    <row r="29" spans="1:82" ht="3" customHeight="1" x14ac:dyDescent="0.4">
      <c r="B29" s="162"/>
      <c r="C29" s="49"/>
      <c r="D29" s="163"/>
      <c r="E29" s="163"/>
      <c r="F29" s="163"/>
      <c r="G29" s="163"/>
      <c r="H29" s="132"/>
      <c r="I29" s="133"/>
      <c r="J29" s="163"/>
      <c r="K29" s="163"/>
      <c r="L29" s="163"/>
      <c r="M29" s="134"/>
      <c r="N29" s="163"/>
      <c r="O29" s="163"/>
      <c r="P29" s="163"/>
      <c r="Q29" s="134"/>
      <c r="R29" s="163"/>
      <c r="S29" s="111"/>
      <c r="BU29" s="383"/>
      <c r="BV29" s="383"/>
      <c r="BX29" s="35"/>
      <c r="BZ29" s="35"/>
      <c r="CB29" s="35"/>
      <c r="CD29" s="35"/>
    </row>
    <row r="30" spans="1:82" s="42" customFormat="1" ht="3" customHeight="1" x14ac:dyDescent="0.3">
      <c r="B30" s="49"/>
      <c r="C30" s="49"/>
      <c r="D30" s="49"/>
      <c r="E30" s="49"/>
      <c r="F30" s="49"/>
      <c r="G30" s="49"/>
      <c r="H30" s="49"/>
      <c r="I30" s="49"/>
      <c r="J30" s="49"/>
      <c r="K30" s="49"/>
      <c r="L30" s="49"/>
      <c r="M30" s="49"/>
      <c r="N30" s="49"/>
      <c r="O30" s="49"/>
      <c r="P30" s="49"/>
      <c r="Q30" s="49"/>
      <c r="R30" s="49"/>
      <c r="S30" s="49"/>
      <c r="BU30"/>
      <c r="BV30"/>
      <c r="BW30"/>
      <c r="BX30"/>
      <c r="BY30"/>
      <c r="BZ30"/>
      <c r="CA30"/>
      <c r="CB30"/>
      <c r="CC30"/>
      <c r="CD30"/>
    </row>
    <row r="31" spans="1:82" ht="3" customHeight="1" x14ac:dyDescent="0.4">
      <c r="B31" s="111"/>
      <c r="C31" s="111"/>
      <c r="D31" s="111"/>
      <c r="E31" s="111"/>
      <c r="F31" s="111"/>
      <c r="G31" s="111"/>
      <c r="H31" s="111"/>
      <c r="I31" s="111"/>
      <c r="J31" s="111"/>
      <c r="K31" s="111"/>
      <c r="L31" s="111"/>
      <c r="M31" s="111"/>
      <c r="N31" s="111"/>
      <c r="O31" s="111"/>
      <c r="P31" s="111"/>
      <c r="Q31" s="111"/>
      <c r="R31" s="111"/>
      <c r="S31" s="111"/>
    </row>
    <row r="32" spans="1:82" ht="3" customHeight="1" x14ac:dyDescent="0.4">
      <c r="B32" s="111"/>
      <c r="C32" s="111"/>
      <c r="D32" s="111"/>
      <c r="E32" s="111"/>
      <c r="F32" s="111"/>
      <c r="G32" s="111"/>
      <c r="H32" s="111"/>
      <c r="I32" s="111"/>
      <c r="J32" s="111"/>
      <c r="K32" s="111"/>
      <c r="L32" s="111"/>
      <c r="M32" s="111"/>
      <c r="N32" s="111"/>
      <c r="O32" s="111"/>
      <c r="P32" s="111"/>
      <c r="Q32" s="111"/>
      <c r="R32" s="111"/>
      <c r="S32" s="111"/>
    </row>
    <row r="33" spans="2:82" ht="3" customHeight="1" x14ac:dyDescent="0.4">
      <c r="B33" s="111"/>
      <c r="C33" s="111"/>
      <c r="D33" s="111"/>
      <c r="E33" s="111"/>
      <c r="F33" s="111"/>
      <c r="G33" s="111"/>
      <c r="H33" s="111"/>
      <c r="I33" s="111"/>
      <c r="J33" s="111"/>
      <c r="K33" s="111"/>
      <c r="L33" s="111"/>
      <c r="M33" s="111"/>
      <c r="N33" s="111"/>
      <c r="O33" s="111"/>
      <c r="P33" s="111"/>
      <c r="Q33" s="111"/>
      <c r="R33" s="111"/>
      <c r="S33" s="111"/>
    </row>
    <row r="34" spans="2:82" ht="19.2" x14ac:dyDescent="0.4">
      <c r="B34" s="164" t="s">
        <v>158</v>
      </c>
      <c r="C34" s="165"/>
      <c r="D34" s="165"/>
      <c r="E34" s="165"/>
      <c r="F34" s="165"/>
      <c r="G34" s="165"/>
      <c r="H34" s="165"/>
      <c r="I34" s="165"/>
      <c r="J34" s="165"/>
      <c r="K34" s="165"/>
      <c r="L34" s="165"/>
      <c r="M34" s="165"/>
      <c r="N34" s="165"/>
      <c r="O34" s="165"/>
      <c r="P34" s="165"/>
      <c r="Q34" s="165"/>
      <c r="R34" s="165"/>
      <c r="S34" s="111"/>
      <c r="BU34" s="384"/>
      <c r="BV34" s="384"/>
      <c r="BX34" s="384"/>
      <c r="BZ34" s="384"/>
      <c r="CB34" s="384"/>
      <c r="CD34" s="384"/>
    </row>
    <row r="35" spans="2:82" x14ac:dyDescent="0.4">
      <c r="B35" s="111"/>
      <c r="C35" s="111"/>
      <c r="D35" s="111"/>
      <c r="E35" s="111"/>
      <c r="F35" s="111"/>
      <c r="G35" s="111"/>
      <c r="H35" s="116"/>
      <c r="I35" s="117"/>
      <c r="J35" s="111"/>
      <c r="K35" s="118" t="s">
        <v>127</v>
      </c>
      <c r="L35" s="119">
        <f>L7</f>
        <v>8</v>
      </c>
      <c r="M35" s="120"/>
      <c r="N35" s="111"/>
      <c r="O35" s="118" t="s">
        <v>128</v>
      </c>
      <c r="P35" s="121">
        <f>P7</f>
        <v>22</v>
      </c>
      <c r="Q35" s="111"/>
      <c r="R35" s="111"/>
      <c r="S35" s="111"/>
    </row>
    <row r="36" spans="2:82" ht="19.2" x14ac:dyDescent="0.45">
      <c r="B36" s="122" t="s">
        <v>129</v>
      </c>
      <c r="C36" s="123"/>
      <c r="D36" s="123"/>
      <c r="E36" s="124" t="str">
        <f>E8</f>
        <v>Monthly Estimate for Avg. usage</v>
      </c>
      <c r="F36" s="124"/>
      <c r="G36" s="124"/>
      <c r="H36" s="116"/>
      <c r="I36" s="117"/>
      <c r="J36" s="125" t="s">
        <v>130</v>
      </c>
      <c r="K36" s="125"/>
      <c r="L36" s="125"/>
      <c r="M36" s="126"/>
      <c r="N36" s="125" t="s">
        <v>131</v>
      </c>
      <c r="O36" s="125"/>
      <c r="P36" s="125"/>
      <c r="Q36" s="126"/>
      <c r="R36" s="127" t="str">
        <f>R8</f>
        <v>Monthly Est. for variable usage</v>
      </c>
      <c r="S36" s="111"/>
      <c r="BU36" s="372"/>
      <c r="BV36" s="372"/>
      <c r="BX36" s="372"/>
      <c r="BZ36" s="373"/>
      <c r="CB36" s="373"/>
      <c r="CD36" s="374"/>
    </row>
    <row r="37" spans="2:82" ht="6.75" customHeight="1" x14ac:dyDescent="0.4">
      <c r="B37" s="111"/>
      <c r="C37" s="111"/>
      <c r="D37" s="111"/>
      <c r="E37" s="111"/>
      <c r="F37" s="111"/>
      <c r="G37" s="111"/>
      <c r="H37" s="116"/>
      <c r="I37" s="117"/>
      <c r="J37" s="111"/>
      <c r="K37" s="111"/>
      <c r="L37" s="111"/>
      <c r="M37" s="111"/>
      <c r="N37" s="111"/>
      <c r="O37" s="111"/>
      <c r="P37" s="111"/>
      <c r="Q37" s="111"/>
      <c r="R37" s="111"/>
      <c r="S37" s="111"/>
    </row>
    <row r="38" spans="2:82" ht="38.1" customHeight="1" x14ac:dyDescent="0.4">
      <c r="B38" s="560" t="s">
        <v>132</v>
      </c>
      <c r="C38" s="560"/>
      <c r="D38" s="130" t="str">
        <f>D10</f>
        <v>Daily Capacity Minutes</v>
      </c>
      <c r="E38" s="130" t="str">
        <f>E10</f>
        <v>Monthly Capacity Minutes</v>
      </c>
      <c r="F38" s="131" t="s">
        <v>134</v>
      </c>
      <c r="G38" s="131" t="s">
        <v>135</v>
      </c>
      <c r="H38" s="116"/>
      <c r="I38" s="117"/>
      <c r="J38" s="130" t="str">
        <f>J10</f>
        <v>Daily Capacity Minutes</v>
      </c>
      <c r="K38" s="131" t="s">
        <v>134</v>
      </c>
      <c r="L38" s="131" t="s">
        <v>135</v>
      </c>
      <c r="M38" s="134"/>
      <c r="N38" s="130" t="str">
        <f>N10</f>
        <v>Daily Capacity Minutes</v>
      </c>
      <c r="O38" s="131" t="s">
        <v>134</v>
      </c>
      <c r="P38" s="131" t="s">
        <v>135</v>
      </c>
      <c r="Q38" s="134"/>
      <c r="R38" s="130" t="str">
        <f>R10</f>
        <v>Total Calculated Capacity Minutes</v>
      </c>
      <c r="S38" s="111"/>
      <c r="BU38" s="375" t="s">
        <v>137</v>
      </c>
      <c r="BV38" s="375" t="s">
        <v>138</v>
      </c>
      <c r="BX38" s="375" t="s">
        <v>139</v>
      </c>
      <c r="BZ38" s="385" t="s">
        <v>139</v>
      </c>
      <c r="CB38" s="385" t="s">
        <v>139</v>
      </c>
      <c r="CD38" s="385" t="s">
        <v>139</v>
      </c>
    </row>
    <row r="39" spans="2:82" x14ac:dyDescent="0.4">
      <c r="B39" s="166" t="s">
        <v>140</v>
      </c>
      <c r="C39" s="167"/>
      <c r="D39" s="137">
        <f>D11</f>
        <v>55806</v>
      </c>
      <c r="E39" s="137">
        <f>E11</f>
        <v>1226862</v>
      </c>
      <c r="F39" s="32" t="str">
        <f>BU39</f>
        <v>F32</v>
      </c>
      <c r="G39" s="168" cm="1">
        <f t="array" ref="G39">_xlfn.SWITCH(ToggleValue,"Monthly",IFERROR(E39/VLOOKUP(F39,FabricMapping!$F$11:$J$21,5,0),0),"Weekly",IFERROR(E39/VLOOKUP(F39,FabricMapping!$F$11:$J$21,4,0),0))</f>
        <v>0.87773437499999996</v>
      </c>
      <c r="H39" s="169"/>
      <c r="I39" s="170"/>
      <c r="J39" s="137">
        <f>J11</f>
        <v>88165</v>
      </c>
      <c r="K39" s="171" t="str">
        <f>VLOOKUP(J39,FabricMapping!$C$11:$F$21,4,1)</f>
        <v>F64</v>
      </c>
      <c r="L39" s="172">
        <f>IFERROR(J39/VLOOKUP(K39,FabricMapping!$F$11:$J$21,3,0),0)</f>
        <v>0.95665147569444442</v>
      </c>
      <c r="M39" s="167"/>
      <c r="N39" s="137">
        <f>N11</f>
        <v>74262</v>
      </c>
      <c r="O39" s="171" t="str">
        <f>VLOOKUP(N39,FabricMapping!$C$11:$F$21,4,1)</f>
        <v>F64</v>
      </c>
      <c r="P39" s="172">
        <f>IFERROR(N39/VLOOKUP(O39,FabricMapping!$F$11:$J$21,3,0),0)</f>
        <v>0.80579427083333333</v>
      </c>
      <c r="Q39" s="167"/>
      <c r="R39" s="137">
        <f>(J39*$L$7)+(N39*$P$7)</f>
        <v>2339084</v>
      </c>
      <c r="S39" s="111"/>
      <c r="BU39" s="29" t="str" cm="1">
        <f t="array" ref="BU39">_xlfn.SWITCH(ToggleValue,"Monthly",IF(D39=0,"-",VLOOKUP(E39,FabricMapping!$E$11:$F$21,2,1)),"Weekly",IF(D39=0,"-",VLOOKUP(E39,FabricMapping!$D$11:$F$21,3,1)))</f>
        <v>F32</v>
      </c>
      <c r="BV39" s="29" t="str" cm="1">
        <f t="array" ref="BV39">_xlfn.SWITCH(ToggleValue,"Monthly",IF(BU39="F2048",BU39,IF(IFERROR(E39/VLOOKUP(BU39,FabricMapping!$F$11:$J$21,5,0),0)&gt;=$D$6,"F"&amp;_xlfn.NUMBERVALUE(RIGHT(BU39,LEN(BU39)-1))*2,"")),"Weekly",IF(BU39="F2048",BU39,IF(IFERROR(E39/VLOOKUP(BU39,FabricMapping!$F$11:$J$21,4,0),0)&gt;=$D$6,"F"&amp;_xlfn.NUMBERVALUE(RIGHT(BU39,LEN(BU39)-1))*2,"")))</f>
        <v>F64</v>
      </c>
      <c r="BX39" s="28" cm="1">
        <f t="array" ref="BX39">_xlfn.SWITCH(ToggleValue,"Monthly",IFERROR(VLOOKUP(F39,FabricMapping!$F$11:$J$21,5,0)*Cost_Setup!$F$7/60,0),"Weekly",IFERROR(VLOOKUP(F39,FabricMapping!$F$11:$J$21,4,0)*Cost_Setup!$F$7/60,0))</f>
        <v>4193.28</v>
      </c>
      <c r="BZ39" s="30">
        <f>VLOOKUP(K39,FabricMapping!$F$11:$J$243,3,0)*Cost_Setup!$F$7/60</f>
        <v>276.47999999999996</v>
      </c>
      <c r="CB39" s="28">
        <f>VLOOKUP(O39,FabricMapping!$F$11:$J$243,3,0)*Cost_Setup!$F$7/60</f>
        <v>276.47999999999996</v>
      </c>
      <c r="CD39" s="30">
        <f>(BZ39*$L$7)+(CB39*$P$7)</f>
        <v>8294.4</v>
      </c>
    </row>
    <row r="40" spans="2:82" x14ac:dyDescent="0.4">
      <c r="B40" s="111"/>
      <c r="C40" s="111"/>
      <c r="D40" s="111"/>
      <c r="E40" s="111"/>
      <c r="F40" s="111"/>
      <c r="G40" s="111"/>
      <c r="H40" s="111"/>
      <c r="I40" s="111"/>
      <c r="J40" s="111"/>
      <c r="K40" s="111"/>
      <c r="L40" s="111"/>
      <c r="M40" s="111"/>
      <c r="N40" s="111"/>
      <c r="O40" s="111"/>
      <c r="P40" s="111"/>
      <c r="Q40" s="111"/>
      <c r="R40" s="111"/>
      <c r="S40" s="111"/>
      <c r="BX40" s="386"/>
    </row>
    <row r="41" spans="2:82" x14ac:dyDescent="0.4">
      <c r="B41" s="173" t="s">
        <v>159</v>
      </c>
      <c r="C41" s="174"/>
      <c r="D41" s="173" t="str">
        <f>"SKU : "&amp;F39</f>
        <v>SKU : F32</v>
      </c>
      <c r="E41" s="173" t="s">
        <v>160</v>
      </c>
      <c r="F41" s="175"/>
      <c r="G41" s="176">
        <v>730</v>
      </c>
      <c r="H41" s="174"/>
      <c r="I41" s="174"/>
      <c r="J41" s="173" t="str">
        <f>"SKU : "&amp;K39</f>
        <v>SKU : F64</v>
      </c>
      <c r="K41" s="173" t="str">
        <f>"Days : "&amp;L35</f>
        <v>Days : 8</v>
      </c>
      <c r="L41" s="176">
        <f>IF(ToggleValue="Monthly",L35*24,L35*24*4.35)</f>
        <v>192</v>
      </c>
      <c r="M41" s="174"/>
      <c r="N41" s="173" t="str">
        <f>"SKU : "&amp;O39</f>
        <v>SKU : F64</v>
      </c>
      <c r="O41" s="173" t="str">
        <f>"Days : "&amp;P35</f>
        <v>Days : 22</v>
      </c>
      <c r="P41" s="176">
        <f>IF(ToggleValue="Monthly",P35*24,P35*24*4.35)</f>
        <v>528</v>
      </c>
      <c r="Q41" s="111"/>
      <c r="R41" s="111"/>
      <c r="S41" s="111"/>
      <c r="BU41" s="387"/>
      <c r="BV41" s="388"/>
    </row>
    <row r="42" spans="2:82" x14ac:dyDescent="0.4">
      <c r="B42" s="111"/>
      <c r="C42" s="111"/>
      <c r="D42" s="111"/>
      <c r="E42" s="111"/>
      <c r="F42" s="111"/>
      <c r="G42" s="111"/>
      <c r="H42" s="111"/>
      <c r="I42" s="111"/>
      <c r="J42" s="111"/>
      <c r="K42" s="111"/>
      <c r="L42" s="111"/>
      <c r="M42" s="111"/>
      <c r="N42" s="111"/>
      <c r="O42" s="111"/>
      <c r="P42" s="111"/>
      <c r="Q42" s="111"/>
      <c r="R42" s="111"/>
      <c r="S42" s="111"/>
      <c r="BX42" s="389"/>
    </row>
    <row r="43" spans="2:82" x14ac:dyDescent="0.4">
      <c r="B43" s="111"/>
      <c r="C43" s="111"/>
      <c r="D43" s="111"/>
      <c r="E43" s="111"/>
      <c r="F43" s="111"/>
      <c r="G43" s="111"/>
      <c r="H43" s="111"/>
      <c r="I43" s="111"/>
      <c r="J43" s="111"/>
      <c r="K43" s="111"/>
      <c r="L43" s="111"/>
      <c r="M43" s="111"/>
      <c r="N43" s="111"/>
      <c r="O43" s="111"/>
      <c r="P43" s="111"/>
      <c r="Q43" s="111"/>
      <c r="R43" s="111"/>
      <c r="S43" s="111"/>
    </row>
    <row r="44" spans="2:82" x14ac:dyDescent="0.4">
      <c r="B44" s="111"/>
      <c r="C44" s="111"/>
      <c r="D44" s="111"/>
      <c r="E44" s="111"/>
      <c r="F44" s="111"/>
      <c r="G44" s="111"/>
      <c r="H44" s="111"/>
      <c r="I44" s="111"/>
      <c r="J44" s="111"/>
      <c r="K44" s="111"/>
      <c r="L44" s="111"/>
      <c r="M44" s="111"/>
      <c r="N44" s="111"/>
      <c r="O44" s="111"/>
      <c r="P44" s="111"/>
      <c r="Q44" s="111"/>
      <c r="R44" s="111"/>
      <c r="S44" s="111"/>
    </row>
    <row r="45" spans="2:82" x14ac:dyDescent="0.4">
      <c r="BX45" s="386"/>
    </row>
    <row r="54" spans="8:80" x14ac:dyDescent="0.4">
      <c r="H54" s="42"/>
      <c r="I54" s="42"/>
      <c r="J54" s="42"/>
      <c r="K54" s="42"/>
      <c r="L54" s="42"/>
      <c r="M54" s="42"/>
      <c r="N54" s="42"/>
      <c r="O54" s="42"/>
      <c r="P54" s="42"/>
      <c r="Q54" s="42"/>
      <c r="R54" s="42"/>
      <c r="BX54"/>
      <c r="BZ54"/>
      <c r="CB54"/>
    </row>
    <row r="55" spans="8:80" x14ac:dyDescent="0.4">
      <c r="H55" s="42"/>
      <c r="I55" s="42"/>
      <c r="J55" s="42"/>
      <c r="K55" s="42"/>
      <c r="L55" s="42"/>
      <c r="M55" s="42"/>
      <c r="N55" s="42"/>
      <c r="O55" s="42"/>
      <c r="P55" s="42"/>
      <c r="Q55" s="42"/>
      <c r="R55" s="42"/>
      <c r="BX55"/>
      <c r="BZ55"/>
      <c r="CB55"/>
    </row>
    <row r="56" spans="8:80" x14ac:dyDescent="0.4">
      <c r="H56" s="42"/>
      <c r="I56" s="42"/>
      <c r="J56" s="42"/>
      <c r="K56" s="42"/>
      <c r="L56" s="42"/>
      <c r="M56" s="42"/>
      <c r="N56" s="42"/>
      <c r="O56" s="42"/>
      <c r="P56" s="42"/>
      <c r="Q56" s="42"/>
      <c r="R56" s="42"/>
      <c r="BX56"/>
      <c r="BZ56"/>
      <c r="CB56"/>
    </row>
    <row r="57" spans="8:80" x14ac:dyDescent="0.4">
      <c r="H57" s="42"/>
      <c r="I57" s="42"/>
      <c r="J57" s="42"/>
      <c r="K57" s="42"/>
      <c r="L57" s="42"/>
      <c r="M57" s="42"/>
      <c r="N57" s="42"/>
      <c r="O57" s="42"/>
      <c r="P57" s="42"/>
      <c r="Q57" s="42"/>
      <c r="R57" s="42"/>
      <c r="BX57"/>
      <c r="BZ57"/>
      <c r="CB57"/>
    </row>
    <row r="58" spans="8:80" x14ac:dyDescent="0.4">
      <c r="H58" s="42"/>
      <c r="I58" s="42"/>
      <c r="J58" s="42"/>
      <c r="K58" s="42"/>
      <c r="L58" s="42"/>
      <c r="M58" s="42"/>
      <c r="N58" s="42"/>
      <c r="O58" s="42"/>
      <c r="P58" s="42"/>
      <c r="Q58" s="42"/>
      <c r="R58" s="42"/>
      <c r="BX58"/>
      <c r="BZ58"/>
      <c r="CB58"/>
    </row>
    <row r="59" spans="8:80" x14ac:dyDescent="0.4">
      <c r="H59" s="42"/>
      <c r="I59" s="42"/>
      <c r="J59" s="42"/>
      <c r="K59" s="42"/>
      <c r="L59" s="42"/>
      <c r="M59" s="42"/>
      <c r="N59" s="42"/>
      <c r="O59" s="42"/>
      <c r="P59" s="42"/>
      <c r="Q59" s="42"/>
      <c r="R59" s="42"/>
      <c r="BX59"/>
      <c r="BZ59"/>
      <c r="CB59"/>
    </row>
    <row r="60" spans="8:80" x14ac:dyDescent="0.4">
      <c r="H60" s="42"/>
      <c r="I60" s="42"/>
      <c r="J60" s="42"/>
      <c r="K60" s="42"/>
      <c r="L60" s="42"/>
      <c r="M60" s="42"/>
      <c r="N60" s="42"/>
      <c r="O60" s="42"/>
      <c r="P60" s="42"/>
      <c r="Q60" s="42"/>
      <c r="R60" s="42"/>
      <c r="BX60"/>
      <c r="BZ60"/>
      <c r="CB60"/>
    </row>
    <row r="61" spans="8:80" x14ac:dyDescent="0.4">
      <c r="H61" s="42"/>
      <c r="I61" s="42"/>
      <c r="J61" s="42"/>
      <c r="K61" s="42"/>
      <c r="L61" s="42"/>
      <c r="M61" s="42"/>
      <c r="N61" s="42"/>
      <c r="O61" s="42"/>
      <c r="P61" s="42"/>
      <c r="Q61" s="42"/>
      <c r="R61" s="42"/>
      <c r="BX61"/>
      <c r="BZ61"/>
      <c r="CB61"/>
    </row>
    <row r="62" spans="8:80" x14ac:dyDescent="0.4">
      <c r="H62" s="42"/>
      <c r="I62" s="42"/>
      <c r="J62" s="42"/>
      <c r="K62" s="42"/>
      <c r="L62" s="42"/>
      <c r="M62" s="42"/>
      <c r="N62" s="42"/>
      <c r="O62" s="42"/>
      <c r="P62" s="42"/>
      <c r="Q62" s="42"/>
      <c r="R62" s="42"/>
      <c r="BX62"/>
      <c r="BZ62"/>
      <c r="CB62"/>
    </row>
    <row r="63" spans="8:80" x14ac:dyDescent="0.4">
      <c r="H63" s="42"/>
      <c r="I63" s="42"/>
      <c r="J63" s="42"/>
      <c r="K63" s="42"/>
      <c r="L63" s="42"/>
      <c r="M63" s="42"/>
      <c r="N63" s="42"/>
      <c r="O63" s="42"/>
      <c r="P63" s="42"/>
      <c r="Q63" s="42"/>
      <c r="R63" s="42"/>
      <c r="BX63"/>
      <c r="BZ63"/>
      <c r="CB63"/>
    </row>
    <row r="64" spans="8:80" x14ac:dyDescent="0.4">
      <c r="H64" s="42"/>
      <c r="I64" s="42"/>
      <c r="J64" s="42"/>
      <c r="K64" s="42"/>
      <c r="L64" s="42"/>
      <c r="M64" s="42"/>
      <c r="N64" s="42"/>
      <c r="O64" s="42"/>
      <c r="P64" s="42"/>
      <c r="Q64" s="42"/>
      <c r="R64" s="42"/>
      <c r="BX64"/>
      <c r="BZ64"/>
      <c r="CB64"/>
    </row>
    <row r="65" spans="8:80" x14ac:dyDescent="0.4">
      <c r="H65" s="42"/>
      <c r="I65" s="42"/>
      <c r="J65" s="42"/>
      <c r="K65" s="42"/>
      <c r="L65" s="42"/>
      <c r="M65" s="42"/>
      <c r="N65" s="42"/>
      <c r="O65" s="42"/>
      <c r="P65" s="42"/>
      <c r="Q65" s="42"/>
      <c r="R65" s="42"/>
      <c r="BX65"/>
      <c r="BZ65"/>
      <c r="CB65"/>
    </row>
    <row r="66" spans="8:80" x14ac:dyDescent="0.4">
      <c r="H66" s="42"/>
      <c r="I66" s="42"/>
      <c r="J66" s="42"/>
      <c r="K66" s="42"/>
      <c r="L66" s="42"/>
      <c r="M66" s="42"/>
      <c r="N66" s="42"/>
      <c r="O66" s="42"/>
      <c r="P66" s="42"/>
      <c r="Q66" s="42"/>
      <c r="R66" s="42"/>
      <c r="BX66"/>
      <c r="BZ66"/>
      <c r="CB66"/>
    </row>
    <row r="67" spans="8:80" x14ac:dyDescent="0.4">
      <c r="H67" s="42"/>
      <c r="I67" s="42"/>
      <c r="J67" s="42"/>
      <c r="K67" s="42"/>
      <c r="L67" s="42"/>
      <c r="M67" s="42"/>
      <c r="N67" s="42"/>
      <c r="O67" s="42"/>
      <c r="P67" s="42"/>
      <c r="Q67" s="42"/>
      <c r="R67" s="42"/>
      <c r="BX67"/>
      <c r="BZ67"/>
      <c r="CB67"/>
    </row>
  </sheetData>
  <sheetProtection algorithmName="SHA-512" hashValue="RneqOb4lqvMyAKyGFs56M6rtExIsifmoHbZqwtqtyeS5E6z6uya75xrQQ/FHPAXrwUdiys+U/JYFLYfeBpFR7A==" saltValue="kAKxbBO3c4cCtSUQZ3PpVg==" spinCount="100000" sheet="1" objects="1" scenarios="1" formatCells="0" formatColumns="0" formatRows="0"/>
  <mergeCells count="2">
    <mergeCell ref="BU1:BV1"/>
    <mergeCell ref="B38:C38"/>
  </mergeCells>
  <conditionalFormatting sqref="F12:F22">
    <cfRule type="expression" dxfId="28" priority="588">
      <formula>G12&gt;=$D$6</formula>
    </cfRule>
  </conditionalFormatting>
  <conditionalFormatting sqref="F39">
    <cfRule type="expression" dxfId="27" priority="1">
      <formula>G39&gt;=$D$6</formula>
    </cfRule>
  </conditionalFormatting>
  <dataValidations count="1">
    <dataValidation type="list" allowBlank="1" showInputMessage="1" showErrorMessage="1" sqref="F12:F22 F39" xr:uid="{9D933461-47F5-4CBD-99BA-E46C77932AA1}">
      <formula1>BU12:BV12</formula1>
    </dataValidation>
  </dataValidations>
  <pageMargins left="0.7" right="0.7" top="0.75" bottom="0.75" header="0.3" footer="0.3"/>
  <pageSetup orientation="portrait" horizontalDpi="300" verticalDpi="300" r:id="rId1"/>
  <headerFooter>
    <oddFooter>&amp;L_x000D_&amp;1#&amp;"Calibri"&amp;10&amp;K000000 Classified as Microsoft Confidential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0660" r:id="rId4" name="Check Box 4">
              <controlPr defaultSize="0" autoFill="0" autoLine="0" autoPict="0" macro="[0]!enable_BCDR">
                <anchor moveWithCells="1">
                  <from>
                    <xdr:col>6</xdr:col>
                    <xdr:colOff>944880</xdr:colOff>
                    <xdr:row>5</xdr:row>
                    <xdr:rowOff>60960</xdr:rowOff>
                  </from>
                  <to>
                    <xdr:col>6</xdr:col>
                    <xdr:colOff>1150620</xdr:colOff>
                    <xdr:row>5</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590" id="{495780F7-ACE6-41E5-BB9F-7C5718439341}">
            <x14:iconSet iconSet="3Flags" custom="1">
              <x14:cfvo type="percent">
                <xm:f>0</xm:f>
              </x14:cfvo>
              <x14:cfvo type="num">
                <xm:f>0.5</xm:f>
              </x14:cfvo>
              <x14:cfvo type="num">
                <xm:f>$D$6</xm:f>
              </x14:cfvo>
              <x14:cfIcon iconSet="3Flags" iconId="2"/>
              <x14:cfIcon iconSet="3Flags" iconId="1"/>
              <x14:cfIcon iconSet="3Flags" iconId="0"/>
            </x14:iconSet>
          </x14:cfRule>
          <xm:sqref>G12:G22</xm:sqref>
        </x14:conditionalFormatting>
        <x14:conditionalFormatting xmlns:xm="http://schemas.microsoft.com/office/excel/2006/main">
          <x14:cfRule type="iconSet" priority="581" id="{8257845C-7E21-47D3-925B-CE75B9FF7886}">
            <x14:iconSet iconSet="3Flags" custom="1">
              <x14:cfvo type="percent">
                <xm:f>0</xm:f>
              </x14:cfvo>
              <x14:cfvo type="num">
                <xm:f>0.5</xm:f>
              </x14:cfvo>
              <x14:cfvo type="num">
                <xm:f>$D$6</xm:f>
              </x14:cfvo>
              <x14:cfIcon iconSet="3Flags" iconId="2"/>
              <x14:cfIcon iconSet="3Flags" iconId="1"/>
              <x14:cfIcon iconSet="3Flags" iconId="0"/>
            </x14:iconSet>
          </x14:cfRule>
          <xm:sqref>G39</xm:sqref>
        </x14:conditionalFormatting>
        <x14:conditionalFormatting xmlns:xm="http://schemas.microsoft.com/office/excel/2006/main">
          <x14:cfRule type="iconSet" priority="558" id="{CA191E0B-4109-46DC-89CC-EF930A3708CB}">
            <x14:iconSet iconSet="3Flags" custom="1">
              <x14:cfvo type="percent">
                <xm:f>0</xm:f>
              </x14:cfvo>
              <x14:cfvo type="num">
                <xm:f>0.5</xm:f>
              </x14:cfvo>
              <x14:cfvo type="num">
                <xm:f>$D$6</xm:f>
              </x14:cfvo>
              <x14:cfIcon iconSet="3Flags" iconId="2"/>
              <x14:cfIcon iconSet="3Flags" iconId="1"/>
              <x14:cfIcon iconSet="3Flags" iconId="0"/>
            </x14:iconSet>
          </x14:cfRule>
          <xm:sqref>L12:L22</xm:sqref>
        </x14:conditionalFormatting>
        <x14:conditionalFormatting xmlns:xm="http://schemas.microsoft.com/office/excel/2006/main">
          <x14:cfRule type="iconSet" priority="556" id="{D542104A-1558-4620-AE1B-3884EDC4ECF9}">
            <x14:iconSet iconSet="3Flags" custom="1">
              <x14:cfvo type="percent">
                <xm:f>0</xm:f>
              </x14:cfvo>
              <x14:cfvo type="num">
                <xm:f>0.5</xm:f>
              </x14:cfvo>
              <x14:cfvo type="num">
                <xm:f>$D$6</xm:f>
              </x14:cfvo>
              <x14:cfIcon iconSet="3Flags" iconId="2"/>
              <x14:cfIcon iconSet="3Flags" iconId="1"/>
              <x14:cfIcon iconSet="3Flags" iconId="0"/>
            </x14:iconSet>
          </x14:cfRule>
          <xm:sqref>P12:P22</xm:sqref>
        </x14:conditionalFormatting>
        <x14:conditionalFormatting xmlns:xm="http://schemas.microsoft.com/office/excel/2006/main">
          <x14:cfRule type="iconSet" priority="334" id="{B8A3A390-9967-40D2-86AA-9D4113BF389B}">
            <x14:iconSet iconSet="3Flags" custom="1">
              <x14:cfvo type="percent">
                <xm:f>0</xm:f>
              </x14:cfvo>
              <x14:cfvo type="num">
                <xm:f>0.5</xm:f>
              </x14:cfvo>
              <x14:cfvo type="num">
                <xm:f>$D$6</xm:f>
              </x14:cfvo>
              <x14:cfIcon iconSet="3Flags" iconId="2"/>
              <x14:cfIcon iconSet="3Flags" iconId="1"/>
              <x14:cfIcon iconSet="3Flags" iconId="0"/>
            </x14:iconSet>
          </x14:cfRule>
          <xm:sqref>L39</xm:sqref>
        </x14:conditionalFormatting>
        <x14:conditionalFormatting xmlns:xm="http://schemas.microsoft.com/office/excel/2006/main">
          <x14:cfRule type="iconSet" priority="333" id="{43574054-9D85-4B60-9C28-8AAD3CA1075E}">
            <x14:iconSet iconSet="3Flags" custom="1">
              <x14:cfvo type="percent">
                <xm:f>0</xm:f>
              </x14:cfvo>
              <x14:cfvo type="num">
                <xm:f>0.5</xm:f>
              </x14:cfvo>
              <x14:cfvo type="num">
                <xm:f>$D$6</xm:f>
              </x14:cfvo>
              <x14:cfIcon iconSet="3Flags" iconId="2"/>
              <x14:cfIcon iconSet="3Flags" iconId="1"/>
              <x14:cfIcon iconSet="3Flags" iconId="0"/>
            </x14:iconSet>
          </x14:cfRule>
          <xm:sqref>P39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989E6-1AF1-43A1-8BCE-7A7C01D3CBA8}">
  <sheetPr codeName="Sheet28">
    <tabColor rgb="FFFF0000"/>
  </sheetPr>
  <dimension ref="A1:Y414"/>
  <sheetViews>
    <sheetView showGridLines="0" showRowColHeaders="0" topLeftCell="B109" zoomScale="80" zoomScaleNormal="80" workbookViewId="0">
      <selection activeCell="I119" sqref="I119"/>
    </sheetView>
  </sheetViews>
  <sheetFormatPr defaultColWidth="9" defaultRowHeight="17.100000000000001" customHeight="1" zeroHeight="1" x14ac:dyDescent="0.3"/>
  <cols>
    <col min="1" max="1" width="0" style="49" hidden="1" customWidth="1"/>
    <col min="2" max="2" width="3.5546875" style="49" customWidth="1"/>
    <col min="3" max="4" width="2.44140625" style="49" customWidth="1"/>
    <col min="5" max="5" width="46.109375" style="49" customWidth="1"/>
    <col min="6" max="6" width="1.44140625" style="49" customWidth="1"/>
    <col min="7" max="7" width="34.6640625" style="49" customWidth="1"/>
    <col min="8" max="8" width="26.44140625" style="49" customWidth="1"/>
    <col min="9" max="9" width="27" style="49" customWidth="1"/>
    <col min="10" max="10" width="26.44140625" style="49" customWidth="1"/>
    <col min="11" max="11" width="28.5546875" style="49" customWidth="1"/>
    <col min="12" max="12" width="13" style="49" bestFit="1" customWidth="1"/>
    <col min="13" max="13" width="22.33203125" style="49" customWidth="1"/>
    <col min="14" max="14" width="22.5546875" style="49" customWidth="1"/>
    <col min="15" max="15" width="27.109375" style="49" customWidth="1"/>
    <col min="16" max="16" width="21.6640625" style="49" customWidth="1"/>
    <col min="17" max="17" width="27.44140625" style="49" customWidth="1"/>
    <col min="18" max="21" width="17.109375" style="49" customWidth="1"/>
    <col min="22" max="23" width="20.5546875" style="49" customWidth="1"/>
    <col min="24" max="24" width="22.109375" style="49" customWidth="1"/>
    <col min="25" max="32" width="9" style="49" customWidth="1"/>
    <col min="33" max="16384" width="9" style="49"/>
  </cols>
  <sheetData>
    <row r="1" spans="3:22" s="177" customFormat="1" ht="14.4" x14ac:dyDescent="0.3">
      <c r="C1" s="195"/>
      <c r="D1" s="195"/>
      <c r="E1" s="195"/>
      <c r="F1" s="195"/>
      <c r="G1" s="195"/>
      <c r="H1" s="195"/>
      <c r="I1" s="195"/>
      <c r="J1" s="195"/>
      <c r="K1" s="195"/>
      <c r="L1" s="195"/>
      <c r="M1" s="195"/>
      <c r="N1" s="195"/>
      <c r="O1" s="195"/>
      <c r="P1" s="195"/>
      <c r="Q1" s="195"/>
      <c r="R1" s="195"/>
      <c r="S1" s="195"/>
      <c r="T1" s="195"/>
      <c r="U1" s="195"/>
      <c r="V1" s="195"/>
    </row>
    <row r="2" spans="3:22" s="177" customFormat="1" ht="15.6" x14ac:dyDescent="0.3">
      <c r="C2" s="195"/>
      <c r="D2" s="195"/>
      <c r="E2" s="178" t="s">
        <v>37</v>
      </c>
      <c r="F2" s="195"/>
      <c r="G2" s="179" t="s">
        <v>161</v>
      </c>
      <c r="H2" s="195"/>
      <c r="I2" s="195"/>
      <c r="J2" s="195"/>
      <c r="K2" s="49" t="s">
        <v>162</v>
      </c>
      <c r="L2" s="49" t="s">
        <v>163</v>
      </c>
      <c r="M2" s="49" t="s">
        <v>164</v>
      </c>
      <c r="N2" s="49" t="s">
        <v>165</v>
      </c>
      <c r="O2" s="49" t="s">
        <v>166</v>
      </c>
      <c r="P2" s="49" t="s">
        <v>167</v>
      </c>
      <c r="Q2" s="49" t="s">
        <v>168</v>
      </c>
      <c r="R2" s="195"/>
      <c r="S2" s="195"/>
      <c r="T2" s="195"/>
      <c r="U2" s="195"/>
      <c r="V2" s="195"/>
    </row>
    <row r="3" spans="3:22" s="177" customFormat="1" ht="15.6" x14ac:dyDescent="0.3">
      <c r="C3" s="195"/>
      <c r="D3" s="195"/>
      <c r="E3" s="396" t="s">
        <v>169</v>
      </c>
      <c r="F3" s="195"/>
      <c r="G3" s="180">
        <v>5</v>
      </c>
      <c r="H3" s="195"/>
      <c r="I3" s="195"/>
      <c r="J3" s="195"/>
      <c r="K3" s="49" t="s">
        <v>170</v>
      </c>
      <c r="L3" s="181">
        <v>0.5</v>
      </c>
      <c r="M3" s="49">
        <f>$G$6*Table1[[#This Row],[% of Sources]]</f>
        <v>100</v>
      </c>
      <c r="N3" s="49">
        <v>0.5</v>
      </c>
      <c r="O3" s="49">
        <f t="shared" ref="O3:O11" si="0">M3*N3</f>
        <v>50</v>
      </c>
      <c r="P3" s="182">
        <v>3</v>
      </c>
      <c r="Q3" s="49">
        <f t="shared" ref="Q3:Q11" si="1">M3*P3</f>
        <v>300</v>
      </c>
      <c r="R3" s="195"/>
      <c r="S3" s="195"/>
      <c r="T3" s="195"/>
      <c r="U3" s="195"/>
      <c r="V3" s="195"/>
    </row>
    <row r="4" spans="3:22" s="177" customFormat="1" ht="15.6" x14ac:dyDescent="0.3">
      <c r="C4" s="195"/>
      <c r="D4" s="195"/>
      <c r="E4" s="397" t="s">
        <v>44</v>
      </c>
      <c r="F4" s="195"/>
      <c r="G4" s="183">
        <v>1000</v>
      </c>
      <c r="H4" s="195"/>
      <c r="I4" s="195"/>
      <c r="J4" s="195"/>
      <c r="K4" s="49" t="s">
        <v>171</v>
      </c>
      <c r="L4" s="184">
        <v>0</v>
      </c>
      <c r="M4" s="49">
        <f>$G$6*Table1[[#This Row],[% of Sources]]</f>
        <v>0</v>
      </c>
      <c r="N4" s="49">
        <v>0.1</v>
      </c>
      <c r="O4" s="49">
        <f t="shared" si="0"/>
        <v>0</v>
      </c>
      <c r="P4" s="182">
        <v>6</v>
      </c>
      <c r="Q4" s="49">
        <f t="shared" si="1"/>
        <v>0</v>
      </c>
      <c r="R4" s="195"/>
      <c r="S4" s="195"/>
      <c r="T4" s="195"/>
      <c r="U4" s="195"/>
      <c r="V4" s="195"/>
    </row>
    <row r="5" spans="3:22" s="177" customFormat="1" ht="15.6" x14ac:dyDescent="0.3">
      <c r="C5" s="195"/>
      <c r="D5" s="195"/>
      <c r="E5" s="397" t="s">
        <v>46</v>
      </c>
      <c r="F5" s="195"/>
      <c r="G5" s="183">
        <v>1</v>
      </c>
      <c r="H5" s="195"/>
      <c r="I5" s="195"/>
      <c r="J5" s="195"/>
      <c r="K5" s="49" t="s">
        <v>172</v>
      </c>
      <c r="L5" s="184">
        <v>0</v>
      </c>
      <c r="M5" s="49">
        <f>$G$6*Table1[[#This Row],[% of Sources]]</f>
        <v>0</v>
      </c>
      <c r="N5" s="49">
        <v>0.1</v>
      </c>
      <c r="O5" s="49">
        <f t="shared" si="0"/>
        <v>0</v>
      </c>
      <c r="P5" s="182">
        <v>6</v>
      </c>
      <c r="Q5" s="49">
        <f t="shared" si="1"/>
        <v>0</v>
      </c>
      <c r="R5" s="195"/>
      <c r="S5" s="195"/>
      <c r="T5" s="195"/>
      <c r="U5" s="195"/>
      <c r="V5" s="195"/>
    </row>
    <row r="6" spans="3:22" s="177" customFormat="1" ht="15.6" x14ac:dyDescent="0.3">
      <c r="C6" s="195"/>
      <c r="D6" s="195"/>
      <c r="E6" s="397" t="s">
        <v>173</v>
      </c>
      <c r="F6" s="195"/>
      <c r="G6" s="183">
        <v>200</v>
      </c>
      <c r="H6" s="195"/>
      <c r="I6" s="195"/>
      <c r="J6" s="195"/>
      <c r="K6" s="49" t="s">
        <v>174</v>
      </c>
      <c r="L6" s="184">
        <v>0</v>
      </c>
      <c r="M6" s="49">
        <f>$G$6*Table1[[#This Row],[% of Sources]]</f>
        <v>0</v>
      </c>
      <c r="N6" s="49">
        <v>0.05</v>
      </c>
      <c r="O6" s="49">
        <f t="shared" si="0"/>
        <v>0</v>
      </c>
      <c r="P6" s="182">
        <v>6</v>
      </c>
      <c r="Q6" s="49">
        <f t="shared" si="1"/>
        <v>0</v>
      </c>
      <c r="R6" s="195"/>
      <c r="S6" s="195"/>
      <c r="T6" s="195"/>
      <c r="U6" s="195"/>
      <c r="V6" s="195"/>
    </row>
    <row r="7" spans="3:22" s="177" customFormat="1" ht="15.6" x14ac:dyDescent="0.3">
      <c r="C7" s="195"/>
      <c r="D7" s="195"/>
      <c r="E7" s="397" t="s">
        <v>50</v>
      </c>
      <c r="F7" s="195"/>
      <c r="G7" s="185">
        <v>0.1</v>
      </c>
      <c r="H7" s="195"/>
      <c r="I7" s="195"/>
      <c r="J7" s="195"/>
      <c r="K7" s="49" t="s">
        <v>175</v>
      </c>
      <c r="L7" s="184">
        <v>0</v>
      </c>
      <c r="M7" s="49">
        <f>$G$6*Table1[[#This Row],[% of Sources]]</f>
        <v>0</v>
      </c>
      <c r="N7" s="49">
        <v>0.05</v>
      </c>
      <c r="O7" s="49">
        <f t="shared" si="0"/>
        <v>0</v>
      </c>
      <c r="P7" s="182">
        <v>6</v>
      </c>
      <c r="Q7" s="49">
        <f t="shared" si="1"/>
        <v>0</v>
      </c>
      <c r="R7" s="195"/>
      <c r="S7" s="195"/>
      <c r="T7" s="195"/>
      <c r="U7" s="195"/>
      <c r="V7" s="195"/>
    </row>
    <row r="8" spans="3:22" s="177" customFormat="1" ht="15.6" x14ac:dyDescent="0.3">
      <c r="C8" s="195"/>
      <c r="D8" s="195"/>
      <c r="E8" s="397" t="s">
        <v>176</v>
      </c>
      <c r="F8" s="195"/>
      <c r="G8" s="185" t="s">
        <v>177</v>
      </c>
      <c r="H8" s="195"/>
      <c r="I8" s="195"/>
      <c r="J8" s="195"/>
      <c r="K8" s="49" t="s">
        <v>178</v>
      </c>
      <c r="L8" s="184">
        <v>0</v>
      </c>
      <c r="M8" s="49">
        <f>$G$6*Table1[[#This Row],[% of Sources]]</f>
        <v>0</v>
      </c>
      <c r="N8" s="49">
        <v>0.05</v>
      </c>
      <c r="O8" s="49">
        <f t="shared" si="0"/>
        <v>0</v>
      </c>
      <c r="P8" s="182">
        <v>6</v>
      </c>
      <c r="Q8" s="49">
        <f t="shared" si="1"/>
        <v>0</v>
      </c>
      <c r="R8" s="195"/>
      <c r="S8" s="195"/>
      <c r="T8" s="195"/>
      <c r="U8" s="195"/>
      <c r="V8" s="195"/>
    </row>
    <row r="9" spans="3:22" s="177" customFormat="1" ht="15.6" x14ac:dyDescent="0.3">
      <c r="C9" s="195"/>
      <c r="D9" s="195"/>
      <c r="E9" s="397" t="s">
        <v>55</v>
      </c>
      <c r="F9" s="195"/>
      <c r="G9" s="185" t="s">
        <v>56</v>
      </c>
      <c r="H9" s="195"/>
      <c r="I9" s="195"/>
      <c r="J9" s="195"/>
      <c r="K9" s="49" t="s">
        <v>179</v>
      </c>
      <c r="L9" s="184">
        <v>0</v>
      </c>
      <c r="M9" s="49">
        <f>$G$6*Table1[[#This Row],[% of Sources]]</f>
        <v>0</v>
      </c>
      <c r="N9" s="49">
        <v>0.05</v>
      </c>
      <c r="O9" s="49">
        <f t="shared" si="0"/>
        <v>0</v>
      </c>
      <c r="P9" s="182">
        <v>6</v>
      </c>
      <c r="Q9" s="49">
        <f t="shared" si="1"/>
        <v>0</v>
      </c>
      <c r="R9" s="195"/>
      <c r="S9" s="195"/>
      <c r="T9" s="195"/>
      <c r="U9" s="195"/>
      <c r="V9" s="195"/>
    </row>
    <row r="10" spans="3:22" s="177" customFormat="1" ht="15.6" x14ac:dyDescent="0.3">
      <c r="C10" s="195"/>
      <c r="D10" s="195"/>
      <c r="E10" s="397" t="s">
        <v>58</v>
      </c>
      <c r="F10" s="195"/>
      <c r="G10" s="185" t="b">
        <v>1</v>
      </c>
      <c r="H10" s="195"/>
      <c r="I10" s="195"/>
      <c r="J10" s="195"/>
      <c r="K10" s="49" t="s">
        <v>180</v>
      </c>
      <c r="L10" s="184">
        <v>0</v>
      </c>
      <c r="M10" s="49">
        <f>$G$6*Table1[[#This Row],[% of Sources]]</f>
        <v>0</v>
      </c>
      <c r="N10" s="49">
        <v>0.1</v>
      </c>
      <c r="O10" s="49">
        <f t="shared" si="0"/>
        <v>0</v>
      </c>
      <c r="P10" s="182">
        <v>3</v>
      </c>
      <c r="Q10" s="49">
        <f t="shared" si="1"/>
        <v>0</v>
      </c>
      <c r="R10" s="195"/>
      <c r="S10" s="195"/>
      <c r="T10" s="195"/>
      <c r="U10" s="195"/>
      <c r="V10" s="195"/>
    </row>
    <row r="11" spans="3:22" s="177" customFormat="1" ht="15.6" x14ac:dyDescent="0.3">
      <c r="C11" s="195"/>
      <c r="D11" s="195"/>
      <c r="E11" s="397" t="s">
        <v>181</v>
      </c>
      <c r="F11" s="195"/>
      <c r="G11" s="185" t="b">
        <v>1</v>
      </c>
      <c r="H11" s="195"/>
      <c r="I11" s="195"/>
      <c r="J11" s="195"/>
      <c r="K11" s="49" t="s">
        <v>182</v>
      </c>
      <c r="L11" s="184">
        <v>0.5</v>
      </c>
      <c r="M11" s="49">
        <f>$G$6*Table1[[#This Row],[% of Sources]]</f>
        <v>100</v>
      </c>
      <c r="N11" s="49">
        <v>1</v>
      </c>
      <c r="O11" s="49">
        <f t="shared" si="0"/>
        <v>100</v>
      </c>
      <c r="P11" s="182">
        <v>1</v>
      </c>
      <c r="Q11" s="49">
        <f t="shared" si="1"/>
        <v>100</v>
      </c>
      <c r="R11" s="195"/>
      <c r="S11" s="195"/>
      <c r="T11" s="195"/>
      <c r="U11" s="195"/>
      <c r="V11" s="195"/>
    </row>
    <row r="12" spans="3:22" s="177" customFormat="1" ht="15.6" x14ac:dyDescent="0.3">
      <c r="C12" s="195"/>
      <c r="D12" s="195"/>
      <c r="E12" s="397" t="s">
        <v>183</v>
      </c>
      <c r="F12" s="195"/>
      <c r="G12" s="186">
        <v>50</v>
      </c>
      <c r="H12" s="195"/>
      <c r="I12" s="195"/>
      <c r="J12" s="195"/>
      <c r="K12" s="49"/>
      <c r="L12" s="49"/>
      <c r="M12" s="49"/>
      <c r="N12" s="49"/>
      <c r="O12" s="49"/>
      <c r="P12" s="49"/>
      <c r="Q12" s="49"/>
      <c r="R12" s="195"/>
      <c r="S12" s="195"/>
      <c r="T12" s="195"/>
      <c r="U12" s="195"/>
      <c r="V12" s="195"/>
    </row>
    <row r="13" spans="3:22" s="177" customFormat="1" ht="16.2" thickBot="1" x14ac:dyDescent="0.35">
      <c r="C13" s="195"/>
      <c r="D13" s="195"/>
      <c r="E13" s="397" t="s">
        <v>66</v>
      </c>
      <c r="F13" s="195"/>
      <c r="G13" s="185" t="b">
        <v>1</v>
      </c>
      <c r="H13" s="195"/>
      <c r="I13" s="195"/>
      <c r="J13" s="195"/>
      <c r="K13" s="49"/>
      <c r="L13" s="49"/>
      <c r="M13" s="49"/>
      <c r="N13" s="49"/>
      <c r="O13" s="49"/>
      <c r="P13" s="49"/>
      <c r="Q13" s="49"/>
      <c r="R13" s="195"/>
      <c r="S13" s="195"/>
      <c r="T13" s="195"/>
      <c r="U13" s="195"/>
      <c r="V13" s="195"/>
    </row>
    <row r="14" spans="3:22" s="177" customFormat="1" ht="16.2" thickBot="1" x14ac:dyDescent="0.35">
      <c r="C14" s="195"/>
      <c r="D14" s="195"/>
      <c r="E14" s="397" t="s">
        <v>184</v>
      </c>
      <c r="F14" s="195"/>
      <c r="G14" s="186">
        <v>5</v>
      </c>
      <c r="H14" s="49"/>
      <c r="I14" s="195"/>
      <c r="J14" s="195"/>
      <c r="K14" s="187" t="s">
        <v>185</v>
      </c>
      <c r="L14" s="187">
        <f>IFERROR(SUM(O3:O11)/SUM(M3:M11),0)</f>
        <v>0.75</v>
      </c>
      <c r="M14" s="49"/>
      <c r="N14" s="49"/>
      <c r="O14" s="187" t="s">
        <v>186</v>
      </c>
      <c r="P14" s="187">
        <f>IFERROR(SUM(Q3:Q11)/SUM(M3:M11),0)</f>
        <v>2</v>
      </c>
      <c r="Q14" s="49"/>
      <c r="R14" s="195"/>
      <c r="S14" s="195"/>
      <c r="T14" s="195"/>
      <c r="U14" s="195"/>
      <c r="V14" s="195"/>
    </row>
    <row r="15" spans="3:22" s="177" customFormat="1" ht="15.6" x14ac:dyDescent="0.3">
      <c r="C15" s="195"/>
      <c r="D15" s="195"/>
      <c r="E15" s="397" t="s">
        <v>70</v>
      </c>
      <c r="F15" s="195"/>
      <c r="G15" s="186">
        <v>800</v>
      </c>
      <c r="H15" s="49"/>
      <c r="I15" s="195"/>
      <c r="J15" s="195"/>
      <c r="K15" s="195"/>
      <c r="L15" s="49"/>
      <c r="M15" s="195"/>
      <c r="N15" s="195"/>
      <c r="O15" s="195"/>
      <c r="P15" s="49"/>
      <c r="Q15" s="195"/>
      <c r="R15" s="195"/>
      <c r="S15" s="195"/>
      <c r="T15" s="195"/>
      <c r="U15" s="195"/>
      <c r="V15" s="195"/>
    </row>
    <row r="16" spans="3:22" s="177" customFormat="1" ht="15.6" x14ac:dyDescent="0.3">
      <c r="C16" s="195"/>
      <c r="D16" s="195"/>
      <c r="E16" s="397" t="s">
        <v>73</v>
      </c>
      <c r="F16" s="195"/>
      <c r="G16" s="185" t="b">
        <v>1</v>
      </c>
      <c r="H16" s="49"/>
      <c r="I16" s="195"/>
      <c r="J16" s="195"/>
      <c r="K16" s="195"/>
      <c r="L16" s="195"/>
      <c r="M16" s="195"/>
      <c r="N16" s="195"/>
      <c r="O16" s="195"/>
      <c r="P16" s="195"/>
      <c r="Q16" s="195"/>
      <c r="R16" s="195"/>
      <c r="S16" s="195"/>
      <c r="T16" s="195"/>
      <c r="U16" s="195"/>
      <c r="V16" s="195"/>
    </row>
    <row r="17" spans="3:24" s="177" customFormat="1" ht="15.6" x14ac:dyDescent="0.3">
      <c r="C17" s="195"/>
      <c r="D17" s="195"/>
      <c r="E17" s="397" t="s">
        <v>75</v>
      </c>
      <c r="F17" s="195"/>
      <c r="G17" s="186">
        <v>600</v>
      </c>
      <c r="H17" s="49"/>
      <c r="I17" s="195"/>
      <c r="J17" s="195"/>
      <c r="K17" s="195"/>
      <c r="L17" s="195"/>
      <c r="M17" s="195"/>
      <c r="N17" s="195"/>
      <c r="O17" s="195"/>
      <c r="P17" s="195"/>
      <c r="Q17" s="195"/>
      <c r="R17" s="195"/>
      <c r="S17" s="195"/>
      <c r="T17" s="195"/>
      <c r="U17" s="195"/>
      <c r="V17" s="195"/>
      <c r="W17" s="195"/>
      <c r="X17" s="195"/>
    </row>
    <row r="18" spans="3:24" s="177" customFormat="1" ht="15.6" x14ac:dyDescent="0.3">
      <c r="C18" s="195"/>
      <c r="D18" s="195"/>
      <c r="E18" s="397" t="s">
        <v>77</v>
      </c>
      <c r="F18" s="195"/>
      <c r="G18" s="186">
        <v>24</v>
      </c>
      <c r="H18" s="49"/>
      <c r="I18" s="195"/>
      <c r="J18" s="195"/>
      <c r="K18" s="195"/>
      <c r="L18" s="195"/>
      <c r="M18" s="195"/>
      <c r="N18" s="195"/>
      <c r="O18" s="195"/>
      <c r="P18" s="195"/>
      <c r="Q18" s="195"/>
      <c r="R18" s="195"/>
      <c r="S18" s="195"/>
      <c r="T18" s="195"/>
      <c r="U18" s="195"/>
      <c r="V18" s="195"/>
      <c r="W18" s="195"/>
      <c r="X18" s="195"/>
    </row>
    <row r="19" spans="3:24" s="177" customFormat="1" ht="15.6" x14ac:dyDescent="0.3">
      <c r="C19" s="195"/>
      <c r="D19" s="195"/>
      <c r="E19" s="397" t="s">
        <v>80</v>
      </c>
      <c r="F19" s="195"/>
      <c r="G19" s="186">
        <v>10</v>
      </c>
      <c r="H19" s="49"/>
      <c r="I19" s="195"/>
      <c r="J19" s="195"/>
      <c r="K19" s="195"/>
      <c r="L19" s="195"/>
      <c r="M19" s="195"/>
      <c r="N19" s="195"/>
      <c r="O19" s="195"/>
      <c r="P19" s="195"/>
      <c r="Q19" s="195"/>
      <c r="R19" s="195"/>
      <c r="S19" s="195"/>
      <c r="T19" s="195"/>
      <c r="U19" s="195"/>
      <c r="V19" s="195"/>
      <c r="W19" s="195"/>
      <c r="X19" s="195"/>
    </row>
    <row r="20" spans="3:24" s="177" customFormat="1" ht="15.6" x14ac:dyDescent="0.3">
      <c r="C20" s="195"/>
      <c r="D20" s="195"/>
      <c r="E20" s="397" t="s">
        <v>82</v>
      </c>
      <c r="F20" s="195"/>
      <c r="G20" s="186">
        <v>0</v>
      </c>
      <c r="H20" s="49"/>
      <c r="I20" s="195"/>
      <c r="J20" s="195"/>
      <c r="K20" s="195"/>
      <c r="L20" s="195"/>
      <c r="M20" s="195"/>
      <c r="N20" s="195"/>
      <c r="O20" s="195"/>
      <c r="P20" s="195"/>
      <c r="Q20" s="195"/>
      <c r="R20" s="195"/>
      <c r="S20" s="195"/>
      <c r="T20" s="195"/>
      <c r="U20" s="195"/>
      <c r="V20" s="195"/>
      <c r="W20" s="195"/>
      <c r="X20" s="195"/>
    </row>
    <row r="21" spans="3:24" s="177" customFormat="1" ht="15.6" x14ac:dyDescent="0.3">
      <c r="C21" s="195"/>
      <c r="D21" s="195"/>
      <c r="E21" s="397" t="s">
        <v>84</v>
      </c>
      <c r="F21" s="195"/>
      <c r="G21" s="185" t="b">
        <v>0</v>
      </c>
      <c r="H21" s="49"/>
      <c r="I21" s="195"/>
      <c r="J21" s="195"/>
      <c r="K21" s="195"/>
      <c r="L21" s="195"/>
      <c r="M21" s="195"/>
      <c r="N21" s="195"/>
      <c r="O21" s="195"/>
      <c r="P21" s="195"/>
      <c r="Q21" s="195"/>
      <c r="R21" s="195"/>
      <c r="S21" s="195"/>
      <c r="T21" s="195"/>
      <c r="U21" s="195"/>
      <c r="V21" s="195"/>
      <c r="W21" s="195"/>
      <c r="X21" s="195"/>
    </row>
    <row r="22" spans="3:24" s="177" customFormat="1" ht="15.6" x14ac:dyDescent="0.3">
      <c r="C22" s="195"/>
      <c r="D22" s="195"/>
      <c r="E22" s="397" t="s">
        <v>187</v>
      </c>
      <c r="F22" s="195"/>
      <c r="G22" s="186">
        <v>15</v>
      </c>
      <c r="H22" s="49"/>
      <c r="I22" s="195"/>
      <c r="J22" s="195"/>
      <c r="K22" s="195"/>
      <c r="L22" s="195"/>
      <c r="M22" s="195"/>
      <c r="N22" s="195"/>
      <c r="O22" s="195"/>
      <c r="P22" s="195"/>
      <c r="Q22" s="195"/>
      <c r="R22" s="195"/>
      <c r="S22" s="195"/>
      <c r="T22" s="195"/>
      <c r="U22" s="195"/>
      <c r="V22" s="195"/>
      <c r="W22" s="195"/>
      <c r="X22" s="195"/>
    </row>
    <row r="23" spans="3:24" s="177" customFormat="1" ht="15.6" x14ac:dyDescent="0.3">
      <c r="C23" s="195"/>
      <c r="D23" s="195"/>
      <c r="E23" s="397" t="s">
        <v>88</v>
      </c>
      <c r="F23" s="195"/>
      <c r="G23" s="186">
        <v>10</v>
      </c>
      <c r="H23" s="49"/>
      <c r="I23" s="195"/>
      <c r="J23" s="195"/>
      <c r="K23" s="195"/>
      <c r="L23" s="195"/>
      <c r="M23" s="195"/>
      <c r="N23" s="195"/>
      <c r="O23" s="195"/>
      <c r="P23" s="195"/>
      <c r="Q23" s="195"/>
      <c r="R23" s="195"/>
      <c r="S23" s="195"/>
      <c r="T23" s="195"/>
      <c r="U23" s="195"/>
      <c r="V23" s="195"/>
      <c r="W23" s="195"/>
      <c r="X23" s="195"/>
    </row>
    <row r="24" spans="3:24" s="177" customFormat="1" ht="15.6" x14ac:dyDescent="0.3">
      <c r="C24" s="195"/>
      <c r="D24" s="195"/>
      <c r="E24" s="397" t="s">
        <v>91</v>
      </c>
      <c r="F24" s="195"/>
      <c r="G24" s="186"/>
      <c r="H24" s="49"/>
      <c r="I24" s="195"/>
      <c r="J24" s="195"/>
      <c r="K24" s="195"/>
      <c r="L24" s="195"/>
      <c r="M24" s="195"/>
      <c r="N24" s="195"/>
      <c r="O24" s="195"/>
      <c r="P24" s="195"/>
      <c r="Q24" s="195"/>
      <c r="R24" s="195"/>
      <c r="S24" s="195"/>
      <c r="T24" s="195"/>
      <c r="U24" s="195"/>
      <c r="V24" s="195"/>
      <c r="W24" s="195"/>
      <c r="X24" s="195"/>
    </row>
    <row r="25" spans="3:24" s="177" customFormat="1" ht="15.6" x14ac:dyDescent="0.3">
      <c r="C25" s="195"/>
      <c r="D25" s="195"/>
      <c r="E25" s="397" t="s">
        <v>93</v>
      </c>
      <c r="F25" s="195"/>
      <c r="G25" s="186"/>
      <c r="H25" s="49"/>
      <c r="I25" s="195"/>
      <c r="J25" s="195"/>
      <c r="K25" s="195"/>
      <c r="L25" s="195"/>
      <c r="M25" s="195"/>
      <c r="N25" s="195"/>
      <c r="O25" s="195"/>
      <c r="P25" s="195"/>
      <c r="Q25" s="195"/>
      <c r="R25" s="195"/>
      <c r="S25" s="195"/>
      <c r="T25" s="195"/>
      <c r="U25" s="195"/>
      <c r="V25" s="195"/>
      <c r="W25" s="195"/>
      <c r="X25" s="195"/>
    </row>
    <row r="26" spans="3:24" s="177" customFormat="1" ht="15.6" x14ac:dyDescent="0.3">
      <c r="C26" s="195"/>
      <c r="D26" s="195"/>
      <c r="E26" s="397" t="s">
        <v>95</v>
      </c>
      <c r="F26" s="195"/>
      <c r="G26" s="186"/>
      <c r="H26" s="49"/>
      <c r="I26" s="195"/>
      <c r="J26" s="195"/>
      <c r="K26" s="195"/>
      <c r="L26" s="195"/>
      <c r="M26" s="195"/>
      <c r="N26" s="195"/>
      <c r="O26" s="195"/>
      <c r="P26" s="195"/>
      <c r="Q26" s="195"/>
      <c r="R26" s="195"/>
      <c r="S26" s="195"/>
      <c r="T26" s="195"/>
      <c r="U26" s="195"/>
      <c r="V26" s="195"/>
      <c r="W26" s="195"/>
      <c r="X26" s="195"/>
    </row>
    <row r="27" spans="3:24" s="177" customFormat="1" ht="15.6" x14ac:dyDescent="0.3">
      <c r="C27" s="195"/>
      <c r="D27" s="195"/>
      <c r="E27" s="397" t="s">
        <v>97</v>
      </c>
      <c r="F27" s="195"/>
      <c r="G27" s="186"/>
      <c r="H27" s="49"/>
      <c r="I27" s="195"/>
      <c r="J27" s="195"/>
      <c r="K27" s="195"/>
      <c r="L27" s="195"/>
      <c r="M27" s="195"/>
      <c r="N27" s="195"/>
      <c r="O27" s="195"/>
      <c r="P27" s="195"/>
      <c r="Q27" s="195"/>
      <c r="R27" s="195"/>
      <c r="S27" s="195"/>
      <c r="T27" s="195"/>
      <c r="U27" s="195"/>
      <c r="V27" s="195"/>
      <c r="W27" s="195"/>
      <c r="X27" s="195"/>
    </row>
    <row r="28" spans="3:24" s="177" customFormat="1" ht="15.6" x14ac:dyDescent="0.3">
      <c r="C28" s="195"/>
      <c r="D28" s="195"/>
      <c r="E28" s="397" t="s">
        <v>100</v>
      </c>
      <c r="F28" s="195"/>
      <c r="G28" s="186"/>
      <c r="H28" s="49"/>
      <c r="I28" s="195"/>
      <c r="J28" s="195"/>
      <c r="K28" s="195"/>
      <c r="L28" s="195"/>
      <c r="M28" s="195"/>
      <c r="N28" s="195"/>
      <c r="O28" s="195"/>
      <c r="P28" s="195"/>
      <c r="Q28" s="195"/>
      <c r="R28" s="195"/>
      <c r="S28" s="195"/>
      <c r="T28" s="195"/>
      <c r="U28" s="195"/>
      <c r="V28" s="195"/>
      <c r="W28" s="195"/>
      <c r="X28" s="195"/>
    </row>
    <row r="29" spans="3:24" s="177" customFormat="1" ht="15.6" x14ac:dyDescent="0.3">
      <c r="C29" s="195"/>
      <c r="D29" s="195"/>
      <c r="E29" s="397" t="s">
        <v>103</v>
      </c>
      <c r="F29" s="195"/>
      <c r="G29" s="186"/>
      <c r="H29" s="49"/>
      <c r="I29" s="195"/>
      <c r="J29" s="195"/>
      <c r="K29" s="195"/>
      <c r="L29" s="195"/>
      <c r="M29" s="195"/>
      <c r="N29" s="195"/>
      <c r="O29" s="195"/>
      <c r="P29" s="195"/>
      <c r="Q29" s="195"/>
      <c r="R29" s="195"/>
      <c r="S29" s="195"/>
      <c r="T29" s="195"/>
      <c r="U29" s="195"/>
      <c r="V29" s="195"/>
      <c r="W29" s="195"/>
      <c r="X29" s="195"/>
    </row>
    <row r="30" spans="3:24" s="177" customFormat="1" ht="15.6" x14ac:dyDescent="0.3">
      <c r="C30" s="195"/>
      <c r="D30" s="195"/>
      <c r="E30" s="397" t="s">
        <v>104</v>
      </c>
      <c r="F30" s="195"/>
      <c r="G30" s="186"/>
      <c r="H30" s="49"/>
      <c r="I30" s="195"/>
      <c r="J30" s="195"/>
      <c r="K30" s="195"/>
      <c r="L30" s="195"/>
      <c r="M30" s="195"/>
      <c r="N30" s="195"/>
      <c r="O30" s="195"/>
      <c r="P30" s="195"/>
      <c r="Q30" s="195"/>
      <c r="R30" s="195"/>
      <c r="S30" s="195"/>
      <c r="T30" s="195"/>
      <c r="U30" s="195"/>
      <c r="V30" s="195"/>
      <c r="W30" s="195"/>
      <c r="X30" s="195"/>
    </row>
    <row r="31" spans="3:24" s="177" customFormat="1" ht="15.6" x14ac:dyDescent="0.3">
      <c r="C31" s="195"/>
      <c r="D31" s="195"/>
      <c r="E31" s="397" t="s">
        <v>106</v>
      </c>
      <c r="F31" s="195"/>
      <c r="G31" s="186"/>
      <c r="H31" s="49"/>
      <c r="I31" s="195"/>
      <c r="J31" s="195"/>
      <c r="K31" s="195"/>
      <c r="L31" s="195"/>
      <c r="M31" s="195"/>
      <c r="N31" s="195"/>
      <c r="O31" s="195"/>
      <c r="P31" s="195"/>
      <c r="Q31" s="195"/>
      <c r="R31" s="195"/>
      <c r="S31" s="195"/>
      <c r="T31" s="195"/>
      <c r="U31" s="195"/>
      <c r="V31" s="195"/>
      <c r="W31" s="195"/>
      <c r="X31" s="195"/>
    </row>
    <row r="32" spans="3:24" s="177" customFormat="1" ht="15.6" x14ac:dyDescent="0.3">
      <c r="C32" s="195"/>
      <c r="D32" s="195"/>
      <c r="E32" s="397" t="s">
        <v>108</v>
      </c>
      <c r="F32" s="195"/>
      <c r="G32" s="186"/>
      <c r="H32" s="49"/>
      <c r="I32" s="195"/>
      <c r="J32" s="195"/>
      <c r="K32" s="195"/>
      <c r="L32" s="195"/>
      <c r="M32" s="195"/>
      <c r="N32" s="195"/>
      <c r="O32" s="195"/>
      <c r="P32" s="195"/>
      <c r="Q32" s="195"/>
      <c r="R32" s="195"/>
      <c r="S32" s="195"/>
      <c r="T32" s="195"/>
      <c r="U32" s="195"/>
      <c r="V32" s="195"/>
      <c r="W32" s="195"/>
      <c r="X32" s="195"/>
    </row>
    <row r="33" spans="3:24" s="177" customFormat="1" ht="15.6" x14ac:dyDescent="0.3">
      <c r="C33" s="195"/>
      <c r="D33" s="195"/>
      <c r="E33" s="397" t="s">
        <v>111</v>
      </c>
      <c r="F33" s="195"/>
      <c r="G33" s="186"/>
      <c r="H33" s="49"/>
      <c r="I33" s="195"/>
      <c r="J33" s="195"/>
      <c r="K33" s="195"/>
      <c r="L33" s="195"/>
      <c r="M33" s="195"/>
      <c r="N33" s="195"/>
      <c r="O33" s="195"/>
      <c r="P33" s="195"/>
      <c r="Q33" s="195"/>
      <c r="R33" s="195"/>
      <c r="S33" s="195"/>
      <c r="T33" s="195"/>
      <c r="U33" s="195"/>
      <c r="V33" s="195"/>
      <c r="W33" s="195"/>
      <c r="X33" s="195"/>
    </row>
    <row r="34" spans="3:24" s="177" customFormat="1" ht="15.6" x14ac:dyDescent="0.3">
      <c r="C34" s="195"/>
      <c r="D34" s="195"/>
      <c r="E34" s="397" t="s">
        <v>113</v>
      </c>
      <c r="F34" s="195"/>
      <c r="G34" s="186"/>
      <c r="H34" s="49"/>
      <c r="I34" s="195"/>
      <c r="J34" s="195"/>
      <c r="K34" s="195"/>
      <c r="L34" s="195"/>
      <c r="M34" s="195"/>
      <c r="N34" s="195"/>
      <c r="O34" s="195"/>
      <c r="P34" s="195"/>
      <c r="Q34" s="195"/>
      <c r="R34" s="195"/>
      <c r="S34" s="195"/>
      <c r="T34" s="195"/>
      <c r="U34" s="195"/>
      <c r="V34" s="195"/>
      <c r="W34" s="195"/>
      <c r="X34" s="195"/>
    </row>
    <row r="35" spans="3:24" s="177" customFormat="1" ht="15.6" x14ac:dyDescent="0.3">
      <c r="C35" s="195"/>
      <c r="D35" s="195"/>
      <c r="E35" s="397" t="s">
        <v>115</v>
      </c>
      <c r="F35" s="195"/>
      <c r="G35" s="186"/>
      <c r="H35" s="195"/>
      <c r="I35" s="195"/>
      <c r="J35" s="195"/>
      <c r="K35" s="195"/>
      <c r="L35" s="195"/>
      <c r="M35" s="195"/>
      <c r="N35" s="195"/>
      <c r="O35" s="195"/>
      <c r="P35" s="195"/>
      <c r="Q35" s="195"/>
      <c r="R35" s="195"/>
      <c r="S35" s="195"/>
      <c r="T35" s="195"/>
      <c r="U35" s="195"/>
      <c r="V35" s="195"/>
      <c r="W35" s="195"/>
      <c r="X35" s="195"/>
    </row>
    <row r="36" spans="3:24" s="177" customFormat="1" ht="15.6" x14ac:dyDescent="0.3">
      <c r="C36" s="195"/>
      <c r="D36" s="195"/>
      <c r="E36" s="397" t="s">
        <v>117</v>
      </c>
      <c r="F36" s="195"/>
      <c r="G36" s="186"/>
      <c r="H36" s="195"/>
      <c r="I36" s="195"/>
      <c r="J36" s="195"/>
      <c r="K36" s="195"/>
      <c r="L36" s="195"/>
      <c r="M36" s="195"/>
      <c r="N36" s="195"/>
      <c r="O36" s="195"/>
      <c r="P36" s="49"/>
      <c r="Q36" s="49"/>
      <c r="R36" s="49"/>
      <c r="S36" s="49"/>
      <c r="T36" s="49"/>
      <c r="U36" s="49"/>
      <c r="V36" s="49"/>
      <c r="W36" s="49"/>
      <c r="X36" s="49"/>
    </row>
    <row r="37" spans="3:24" s="177" customFormat="1" ht="14.4" x14ac:dyDescent="0.3">
      <c r="C37" s="195"/>
      <c r="D37" s="195"/>
      <c r="E37" s="195"/>
      <c r="F37" s="195"/>
      <c r="G37" s="195"/>
      <c r="H37" s="195"/>
      <c r="I37" s="195"/>
      <c r="J37" s="195"/>
      <c r="K37" s="195"/>
      <c r="L37" s="195"/>
      <c r="M37" s="195"/>
      <c r="N37" s="195"/>
      <c r="O37" s="195"/>
      <c r="P37" s="49"/>
      <c r="Q37" s="49"/>
      <c r="R37" s="49"/>
      <c r="S37" s="49"/>
      <c r="T37" s="49"/>
      <c r="U37" s="49"/>
      <c r="V37" s="49"/>
      <c r="W37" s="49"/>
      <c r="X37" s="49"/>
    </row>
    <row r="38" spans="3:24" s="177" customFormat="1" ht="15" thickBot="1" x14ac:dyDescent="0.35">
      <c r="C38" s="195"/>
      <c r="D38" s="195"/>
      <c r="E38" s="195"/>
      <c r="F38" s="195"/>
      <c r="G38" s="195"/>
      <c r="H38" s="195"/>
      <c r="I38" s="195"/>
      <c r="J38" s="195"/>
      <c r="K38" s="195"/>
      <c r="L38" s="195"/>
      <c r="M38" s="195"/>
      <c r="N38" s="195"/>
      <c r="O38" s="195"/>
      <c r="P38" s="49"/>
      <c r="Q38" s="49"/>
      <c r="R38" s="49"/>
      <c r="S38" s="49"/>
      <c r="T38" s="49"/>
      <c r="U38" s="49"/>
      <c r="V38" s="49"/>
      <c r="W38" s="49"/>
      <c r="X38" s="49"/>
    </row>
    <row r="39" spans="3:24" s="177" customFormat="1" ht="23.4" x14ac:dyDescent="0.45">
      <c r="C39" s="188" t="s">
        <v>188</v>
      </c>
      <c r="D39" s="189"/>
      <c r="E39" s="189"/>
      <c r="F39" s="398"/>
      <c r="G39" s="398"/>
      <c r="H39" s="190"/>
      <c r="I39" s="398"/>
      <c r="J39" s="398"/>
      <c r="K39" s="398"/>
      <c r="L39" s="399"/>
      <c r="M39" s="195"/>
      <c r="N39" s="195"/>
      <c r="O39" s="195"/>
      <c r="P39" s="49"/>
      <c r="Q39" s="49"/>
      <c r="R39" s="49"/>
      <c r="S39" s="49"/>
      <c r="T39" s="49"/>
      <c r="U39" s="49"/>
      <c r="V39" s="49"/>
      <c r="W39" s="49"/>
      <c r="X39" s="49"/>
    </row>
    <row r="40" spans="3:24" s="177" customFormat="1" ht="32.25" customHeight="1" x14ac:dyDescent="0.3">
      <c r="C40" s="400"/>
      <c r="D40" s="195"/>
      <c r="E40" s="195"/>
      <c r="F40" s="195"/>
      <c r="G40" s="195"/>
      <c r="H40" s="195"/>
      <c r="I40" s="195"/>
      <c r="J40" s="195"/>
      <c r="K40" s="195"/>
      <c r="L40" s="401"/>
      <c r="M40" s="195"/>
      <c r="N40" s="195"/>
      <c r="O40" s="195"/>
      <c r="P40" s="49"/>
      <c r="Q40" s="49"/>
      <c r="R40" s="49"/>
      <c r="S40" s="49"/>
      <c r="T40" s="49"/>
      <c r="U40" s="49"/>
      <c r="V40" s="49"/>
      <c r="W40" s="49"/>
      <c r="X40" s="49"/>
    </row>
    <row r="41" spans="3:24" s="177" customFormat="1" ht="15" thickBot="1" x14ac:dyDescent="0.35">
      <c r="C41" s="400"/>
      <c r="D41" s="195"/>
      <c r="E41" s="195"/>
      <c r="F41" s="195"/>
      <c r="G41" s="195"/>
      <c r="H41" s="195"/>
      <c r="I41" s="195"/>
      <c r="J41" s="195"/>
      <c r="K41" s="195"/>
      <c r="L41" s="401"/>
      <c r="M41" s="195"/>
      <c r="N41" s="195"/>
      <c r="O41" s="195"/>
      <c r="P41" s="49"/>
      <c r="Q41" s="49"/>
      <c r="R41" s="49"/>
      <c r="S41" s="49"/>
      <c r="T41" s="49"/>
      <c r="U41" s="49"/>
      <c r="V41" s="49"/>
      <c r="W41" s="49"/>
      <c r="X41" s="49"/>
    </row>
    <row r="42" spans="3:24" s="177" customFormat="1" ht="14.4" x14ac:dyDescent="0.3">
      <c r="C42" s="400"/>
      <c r="D42" s="195"/>
      <c r="E42" s="561" t="s">
        <v>188</v>
      </c>
      <c r="F42" s="195"/>
      <c r="G42" s="563" t="s">
        <v>189</v>
      </c>
      <c r="H42" s="564"/>
      <c r="I42" s="564"/>
      <c r="J42" s="564"/>
      <c r="K42" s="565"/>
      <c r="L42" s="401"/>
      <c r="M42" s="195"/>
      <c r="N42" s="195"/>
      <c r="O42" s="195"/>
      <c r="P42" s="49"/>
      <c r="Q42" s="49"/>
      <c r="R42" s="49"/>
      <c r="S42" s="49"/>
      <c r="T42" s="49"/>
      <c r="U42" s="49"/>
      <c r="V42" s="49"/>
      <c r="W42" s="49"/>
      <c r="X42" s="49"/>
    </row>
    <row r="43" spans="3:24" s="177" customFormat="1" ht="14.4" x14ac:dyDescent="0.3">
      <c r="C43" s="400"/>
      <c r="D43" s="195"/>
      <c r="E43" s="561"/>
      <c r="F43" s="195"/>
      <c r="G43" s="191" t="s">
        <v>190</v>
      </c>
      <c r="H43" s="192" t="s">
        <v>191</v>
      </c>
      <c r="I43" s="192" t="s">
        <v>192</v>
      </c>
      <c r="J43" s="192" t="s">
        <v>193</v>
      </c>
      <c r="K43" s="193" t="s">
        <v>194</v>
      </c>
      <c r="L43" s="401"/>
      <c r="M43" s="195"/>
      <c r="N43" s="195"/>
      <c r="O43" s="195"/>
      <c r="P43" s="49"/>
      <c r="Q43" s="49"/>
      <c r="R43" s="49"/>
      <c r="S43" s="49"/>
      <c r="T43" s="49"/>
      <c r="U43" s="49"/>
      <c r="V43" s="49"/>
      <c r="W43" s="49"/>
      <c r="X43" s="49"/>
    </row>
    <row r="44" spans="3:24" s="177" customFormat="1" ht="14.4" x14ac:dyDescent="0.3">
      <c r="C44" s="400"/>
      <c r="D44" s="195"/>
      <c r="E44" s="561"/>
      <c r="F44" s="195"/>
      <c r="G44" s="194" t="s">
        <v>195</v>
      </c>
      <c r="H44" s="402">
        <f>VLOOKUP(UserInputs!$D$4,FabricMapping!$E$110:$J$112,4,0)</f>
        <v>0.4</v>
      </c>
      <c r="I44" s="402">
        <f>VLOOKUP(UserInputs!$D$4,FabricMapping!$E$110:$J$112,5,0)</f>
        <v>0.35</v>
      </c>
      <c r="J44" s="402">
        <f>VLOOKUP(UserInputs!$D$4,FabricMapping!$E$110:$J$112,6,0)</f>
        <v>0.25</v>
      </c>
      <c r="K44" s="403">
        <f>$G$7</f>
        <v>0.1</v>
      </c>
      <c r="L44" s="401"/>
      <c r="M44" s="195"/>
      <c r="N44" s="195"/>
      <c r="O44" s="195"/>
      <c r="P44" s="49"/>
      <c r="Q44" s="49"/>
      <c r="R44" s="49"/>
      <c r="S44" s="49"/>
      <c r="T44" s="49"/>
      <c r="U44" s="49"/>
      <c r="V44" s="49"/>
      <c r="W44" s="49"/>
      <c r="X44" s="49"/>
    </row>
    <row r="45" spans="3:24" s="177" customFormat="1" ht="14.4" x14ac:dyDescent="0.3">
      <c r="C45" s="400"/>
      <c r="D45" s="195"/>
      <c r="E45" s="561"/>
      <c r="F45" s="195"/>
      <c r="G45" s="194" t="s">
        <v>196</v>
      </c>
      <c r="H45" s="404">
        <f>$G$4*H44</f>
        <v>400</v>
      </c>
      <c r="I45" s="404">
        <f>$G$4*I44</f>
        <v>350</v>
      </c>
      <c r="J45" s="404">
        <f>$G$4*J44</f>
        <v>250</v>
      </c>
      <c r="K45" s="405">
        <f>IF(I45=0,(AVERAGE(J45)*K44),(AVERAGE(I45:J45)*K44))</f>
        <v>30</v>
      </c>
      <c r="L45" s="401"/>
      <c r="M45" s="195"/>
      <c r="N45" s="195"/>
      <c r="O45" s="195"/>
      <c r="P45" s="49"/>
      <c r="Q45" s="49"/>
      <c r="R45" s="49"/>
      <c r="S45" s="49"/>
      <c r="T45" s="49"/>
      <c r="U45" s="49"/>
      <c r="V45" s="49"/>
      <c r="W45" s="49"/>
      <c r="X45" s="49"/>
    </row>
    <row r="46" spans="3:24" s="177" customFormat="1" ht="14.4" x14ac:dyDescent="0.3">
      <c r="C46" s="400"/>
      <c r="D46" s="195"/>
      <c r="E46" s="561"/>
      <c r="F46" s="195"/>
      <c r="G46" s="194" t="s">
        <v>197</v>
      </c>
      <c r="H46" s="404">
        <f>H45*6</f>
        <v>2400</v>
      </c>
      <c r="I46" s="404">
        <f>I45*6</f>
        <v>2100</v>
      </c>
      <c r="J46" s="404">
        <f>J45*6</f>
        <v>1500</v>
      </c>
      <c r="K46" s="405">
        <f>K45*6</f>
        <v>180</v>
      </c>
      <c r="L46" s="401"/>
      <c r="M46" s="195"/>
      <c r="N46" s="195"/>
      <c r="O46" s="195"/>
      <c r="P46" s="49"/>
      <c r="Q46" s="49"/>
      <c r="R46" s="49"/>
      <c r="S46" s="49"/>
      <c r="T46" s="49"/>
      <c r="U46" s="49"/>
      <c r="V46" s="49"/>
      <c r="W46" s="49"/>
      <c r="X46" s="49"/>
    </row>
    <row r="47" spans="3:24" s="177" customFormat="1" ht="15" thickBot="1" x14ac:dyDescent="0.35">
      <c r="C47" s="400"/>
      <c r="D47" s="195"/>
      <c r="E47" s="561"/>
      <c r="F47" s="195"/>
      <c r="G47" s="196" t="s">
        <v>198</v>
      </c>
      <c r="H47" s="406">
        <f>IFERROR(ROUNDUP(H46/'Fabric Working Model-Avg'!$P$14,0),0)</f>
        <v>1200</v>
      </c>
      <c r="I47" s="406">
        <f>I45</f>
        <v>350</v>
      </c>
      <c r="J47" s="406">
        <f>J45</f>
        <v>250</v>
      </c>
      <c r="K47" s="407"/>
      <c r="L47" s="401"/>
      <c r="M47" s="195"/>
      <c r="N47" s="195"/>
      <c r="O47" s="195"/>
      <c r="P47" s="49"/>
      <c r="Q47" s="49"/>
      <c r="R47" s="49"/>
      <c r="S47" s="49"/>
      <c r="T47" s="49"/>
      <c r="U47" s="49"/>
      <c r="V47" s="49"/>
      <c r="W47" s="49"/>
      <c r="X47" s="49"/>
    </row>
    <row r="48" spans="3:24" s="177" customFormat="1" ht="15" thickBot="1" x14ac:dyDescent="0.35">
      <c r="C48" s="400"/>
      <c r="D48" s="195"/>
      <c r="E48" s="561"/>
      <c r="F48" s="195"/>
      <c r="G48" s="195"/>
      <c r="H48" s="195"/>
      <c r="I48" s="195"/>
      <c r="J48" s="195"/>
      <c r="K48" s="195"/>
      <c r="L48" s="401"/>
      <c r="M48" s="195"/>
      <c r="N48" s="195"/>
      <c r="O48" s="195"/>
      <c r="P48" s="49"/>
      <c r="Q48" s="49"/>
      <c r="R48" s="49"/>
      <c r="S48" s="49"/>
      <c r="T48" s="49"/>
      <c r="U48" s="49"/>
      <c r="V48" s="49"/>
      <c r="W48" s="49"/>
      <c r="X48" s="49"/>
    </row>
    <row r="49" spans="2:25" s="177" customFormat="1" ht="14.4" x14ac:dyDescent="0.3">
      <c r="B49" s="195"/>
      <c r="C49" s="400"/>
      <c r="D49" s="195"/>
      <c r="E49" s="561"/>
      <c r="F49" s="195"/>
      <c r="G49" s="563" t="s">
        <v>199</v>
      </c>
      <c r="H49" s="564"/>
      <c r="I49" s="564"/>
      <c r="J49" s="564"/>
      <c r="K49" s="565"/>
      <c r="L49" s="401"/>
      <c r="M49" s="195"/>
      <c r="N49" s="195"/>
      <c r="O49" s="195"/>
      <c r="P49" s="49"/>
      <c r="Q49" s="49"/>
      <c r="R49" s="49"/>
      <c r="S49" s="49"/>
      <c r="T49" s="49"/>
      <c r="U49" s="49"/>
      <c r="V49" s="49"/>
      <c r="W49" s="49"/>
      <c r="X49" s="49"/>
      <c r="Y49" s="195"/>
    </row>
    <row r="50" spans="2:25" s="177" customFormat="1" ht="14.4" x14ac:dyDescent="0.3">
      <c r="B50" s="195"/>
      <c r="C50" s="400"/>
      <c r="D50" s="195"/>
      <c r="E50" s="561"/>
      <c r="F50" s="195"/>
      <c r="G50" s="194" t="s">
        <v>200</v>
      </c>
      <c r="H50" s="197" t="s">
        <v>149</v>
      </c>
      <c r="I50" s="197" t="s">
        <v>150</v>
      </c>
      <c r="J50" s="197" t="s">
        <v>99</v>
      </c>
      <c r="K50" s="198"/>
      <c r="L50" s="401"/>
      <c r="M50" s="195"/>
      <c r="N50" s="195"/>
      <c r="O50" s="195"/>
      <c r="P50" s="49"/>
      <c r="Q50" s="49"/>
      <c r="R50" s="49"/>
      <c r="S50" s="49"/>
      <c r="T50" s="49"/>
      <c r="U50" s="49"/>
      <c r="V50" s="49"/>
      <c r="W50" s="49"/>
      <c r="X50" s="49"/>
      <c r="Y50" s="195"/>
    </row>
    <row r="51" spans="2:25" s="177" customFormat="1" ht="15" thickBot="1" x14ac:dyDescent="0.35">
      <c r="B51" s="195"/>
      <c r="C51" s="400"/>
      <c r="D51" s="195"/>
      <c r="E51" s="561"/>
      <c r="F51" s="195"/>
      <c r="G51" s="196"/>
      <c r="H51" s="199">
        <f>J317</f>
        <v>0</v>
      </c>
      <c r="I51" s="199">
        <f>H303</f>
        <v>0</v>
      </c>
      <c r="J51" s="199">
        <f>H309</f>
        <v>0</v>
      </c>
      <c r="K51" s="200"/>
      <c r="L51" s="401"/>
      <c r="M51" s="49"/>
      <c r="N51" s="49"/>
      <c r="O51" s="195"/>
      <c r="P51" s="49"/>
      <c r="Q51" s="49"/>
      <c r="R51" s="49"/>
      <c r="S51" s="49"/>
      <c r="T51" s="49"/>
      <c r="U51" s="49"/>
      <c r="V51" s="49"/>
      <c r="W51" s="49"/>
      <c r="X51" s="49"/>
      <c r="Y51" s="195"/>
    </row>
    <row r="52" spans="2:25" s="177" customFormat="1" ht="15" thickBot="1" x14ac:dyDescent="0.35">
      <c r="B52" s="195"/>
      <c r="C52" s="400"/>
      <c r="D52" s="195"/>
      <c r="E52" s="561"/>
      <c r="F52" s="195"/>
      <c r="G52" s="195"/>
      <c r="H52" s="195"/>
      <c r="I52" s="195"/>
      <c r="J52" s="195"/>
      <c r="K52" s="195"/>
      <c r="L52" s="401"/>
      <c r="M52" s="49"/>
      <c r="N52" s="49"/>
      <c r="O52" s="195"/>
      <c r="P52" s="49"/>
      <c r="Q52" s="49"/>
      <c r="R52" s="49"/>
      <c r="S52" s="49"/>
      <c r="T52" s="49"/>
      <c r="U52" s="49"/>
      <c r="V52" s="49"/>
      <c r="W52" s="49"/>
      <c r="X52" s="49"/>
      <c r="Y52" s="195"/>
    </row>
    <row r="53" spans="2:25" s="177" customFormat="1" ht="14.4" x14ac:dyDescent="0.3">
      <c r="B53" s="195"/>
      <c r="C53" s="400"/>
      <c r="D53" s="195"/>
      <c r="E53" s="561"/>
      <c r="F53" s="195"/>
      <c r="G53" s="201"/>
      <c r="H53" s="564" t="s">
        <v>201</v>
      </c>
      <c r="I53" s="565"/>
      <c r="J53" s="563" t="s">
        <v>202</v>
      </c>
      <c r="K53" s="565"/>
      <c r="L53" s="401"/>
      <c r="M53" s="49"/>
      <c r="N53" s="49"/>
      <c r="O53" s="195"/>
      <c r="P53" s="195"/>
      <c r="Q53" s="49"/>
      <c r="R53" s="49"/>
      <c r="S53" s="49"/>
      <c r="T53" s="49"/>
      <c r="U53" s="49"/>
      <c r="V53" s="49"/>
      <c r="W53" s="49"/>
      <c r="X53" s="49"/>
      <c r="Y53" s="49"/>
    </row>
    <row r="54" spans="2:25" s="177" customFormat="1" ht="15" thickBot="1" x14ac:dyDescent="0.35">
      <c r="B54" s="195"/>
      <c r="C54" s="400"/>
      <c r="D54" s="195"/>
      <c r="E54" s="561"/>
      <c r="F54" s="195"/>
      <c r="G54" s="203" t="s">
        <v>203</v>
      </c>
      <c r="H54" s="604">
        <f>IFERROR(SUM(H47:J47)+SUM(H51:K51),0)</f>
        <v>1800</v>
      </c>
      <c r="I54" s="605"/>
      <c r="J54" s="600">
        <f>I309+I51</f>
        <v>0</v>
      </c>
      <c r="K54" s="601"/>
      <c r="L54" s="401"/>
      <c r="M54" s="49"/>
      <c r="N54" s="49"/>
      <c r="O54" s="195"/>
      <c r="P54" s="195"/>
      <c r="Q54" s="49"/>
      <c r="R54" s="49"/>
      <c r="S54" s="49"/>
      <c r="T54" s="49"/>
      <c r="U54" s="49"/>
      <c r="V54" s="49"/>
      <c r="W54" s="49"/>
      <c r="X54" s="49"/>
      <c r="Y54" s="49"/>
    </row>
    <row r="55" spans="2:25" s="177" customFormat="1" ht="15" hidden="1" thickBot="1" x14ac:dyDescent="0.35">
      <c r="B55" s="195"/>
      <c r="C55" s="400"/>
      <c r="D55" s="195"/>
      <c r="E55" s="561"/>
      <c r="F55" s="195"/>
      <c r="G55" s="203" t="s">
        <v>204</v>
      </c>
      <c r="H55" s="606">
        <f>H54*Cost_Setup!$H$7</f>
        <v>41.4</v>
      </c>
      <c r="I55" s="607"/>
      <c r="J55" s="602">
        <f>J54*Cost_Setup!$I$7</f>
        <v>0</v>
      </c>
      <c r="K55" s="603"/>
      <c r="L55" s="401"/>
      <c r="M55" s="49"/>
      <c r="N55" s="49"/>
      <c r="O55" s="195"/>
      <c r="P55" s="195"/>
      <c r="Q55" s="49"/>
      <c r="R55" s="49"/>
      <c r="S55" s="49"/>
      <c r="T55" s="49"/>
      <c r="U55" s="49"/>
      <c r="V55" s="49"/>
      <c r="W55" s="49"/>
      <c r="X55" s="49"/>
      <c r="Y55" s="49"/>
    </row>
    <row r="56" spans="2:25" s="177" customFormat="1" ht="15" thickBot="1" x14ac:dyDescent="0.35">
      <c r="B56" s="195"/>
      <c r="C56" s="400"/>
      <c r="D56" s="195"/>
      <c r="E56" s="472"/>
      <c r="F56" s="195"/>
      <c r="G56" s="49"/>
      <c r="H56" s="487"/>
      <c r="I56" s="487"/>
      <c r="J56" s="488"/>
      <c r="K56" s="488"/>
      <c r="L56" s="401"/>
      <c r="M56" s="49"/>
      <c r="N56" s="49"/>
      <c r="O56" s="195"/>
      <c r="P56" s="195"/>
      <c r="Q56" s="49"/>
      <c r="R56" s="49"/>
      <c r="S56" s="49"/>
      <c r="T56" s="49"/>
      <c r="U56" s="49"/>
      <c r="V56" s="49"/>
      <c r="W56" s="49"/>
      <c r="X56" s="49"/>
      <c r="Y56" s="49"/>
    </row>
    <row r="57" spans="2:25" s="177" customFormat="1" ht="14.4" x14ac:dyDescent="0.3">
      <c r="B57" s="195"/>
      <c r="C57" s="400"/>
      <c r="D57" s="195"/>
      <c r="E57" s="472"/>
      <c r="F57" s="195"/>
      <c r="G57" s="229" t="s">
        <v>205</v>
      </c>
      <c r="H57" s="489" t="s">
        <v>206</v>
      </c>
      <c r="I57" s="489" t="s">
        <v>207</v>
      </c>
      <c r="J57" s="489" t="s">
        <v>208</v>
      </c>
      <c r="K57" s="490" t="s">
        <v>209</v>
      </c>
      <c r="L57" s="401"/>
      <c r="M57" s="49"/>
      <c r="N57" s="49"/>
      <c r="O57" s="195"/>
      <c r="P57" s="195"/>
      <c r="Q57" s="49"/>
      <c r="R57" s="49"/>
      <c r="S57" s="49"/>
      <c r="T57" s="49"/>
      <c r="U57" s="49"/>
      <c r="V57" s="49"/>
      <c r="W57" s="49"/>
      <c r="X57" s="49"/>
      <c r="Y57" s="49"/>
    </row>
    <row r="58" spans="2:25" s="177" customFormat="1" ht="15" thickBot="1" x14ac:dyDescent="0.35">
      <c r="B58" s="195"/>
      <c r="C58" s="400"/>
      <c r="D58" s="195"/>
      <c r="E58" s="472"/>
      <c r="F58" s="195"/>
      <c r="G58" s="491">
        <f>G96+G123+G153+G189</f>
        <v>4</v>
      </c>
      <c r="H58" s="492">
        <f>H96+H123+H153+H189</f>
        <v>28</v>
      </c>
      <c r="I58" s="492">
        <f>I96+I123+I153+I189</f>
        <v>4</v>
      </c>
      <c r="J58" s="492">
        <f>J96+J123+J153+J189</f>
        <v>12</v>
      </c>
      <c r="K58" s="493">
        <f>K96+K123+K153+K189</f>
        <v>48</v>
      </c>
      <c r="L58" s="401"/>
      <c r="M58" s="49"/>
      <c r="N58" s="49"/>
      <c r="O58" s="195"/>
      <c r="P58" s="195"/>
      <c r="Q58" s="49"/>
      <c r="R58" s="49"/>
      <c r="S58" s="49"/>
      <c r="T58" s="49"/>
      <c r="U58" s="49"/>
      <c r="V58" s="49"/>
      <c r="W58" s="49"/>
      <c r="X58" s="49"/>
      <c r="Y58" s="49"/>
    </row>
    <row r="59" spans="2:25" s="177" customFormat="1" ht="14.4" x14ac:dyDescent="0.3">
      <c r="B59" s="195"/>
      <c r="C59" s="400"/>
      <c r="D59" s="195"/>
      <c r="E59" s="195"/>
      <c r="F59" s="195"/>
      <c r="G59" s="195"/>
      <c r="H59" s="195"/>
      <c r="I59" s="195"/>
      <c r="J59" s="195"/>
      <c r="K59" s="195"/>
      <c r="L59" s="401"/>
      <c r="M59" s="49"/>
      <c r="N59" s="49"/>
      <c r="O59" s="195"/>
      <c r="P59" s="49"/>
      <c r="Q59" s="49"/>
      <c r="R59" s="49"/>
      <c r="S59" s="49"/>
      <c r="T59" s="49"/>
      <c r="U59" s="49"/>
      <c r="V59" s="49"/>
      <c r="W59" s="49"/>
      <c r="X59" s="49"/>
      <c r="Y59" s="195"/>
    </row>
    <row r="60" spans="2:25" s="177" customFormat="1" ht="15" hidden="1" thickBot="1" x14ac:dyDescent="0.35">
      <c r="B60" s="195"/>
      <c r="C60" s="400"/>
      <c r="D60" s="195"/>
      <c r="E60" s="195"/>
      <c r="F60" s="195"/>
      <c r="G60" s="195"/>
      <c r="H60" s="195"/>
      <c r="I60" s="195"/>
      <c r="J60" s="195"/>
      <c r="K60" s="195"/>
      <c r="L60" s="401"/>
      <c r="M60" s="49"/>
      <c r="N60" s="49"/>
      <c r="O60" s="195"/>
      <c r="P60" s="49"/>
      <c r="Q60" s="49"/>
      <c r="R60" s="49"/>
      <c r="S60" s="49"/>
      <c r="T60" s="49"/>
      <c r="U60" s="49"/>
      <c r="V60" s="49"/>
      <c r="W60" s="49"/>
      <c r="X60" s="49"/>
      <c r="Y60" s="195"/>
    </row>
    <row r="61" spans="2:25" s="177" customFormat="1" ht="15" hidden="1" thickBot="1" x14ac:dyDescent="0.35">
      <c r="B61" s="195"/>
      <c r="C61" s="400"/>
      <c r="D61" s="195"/>
      <c r="E61" s="590" t="s">
        <v>210</v>
      </c>
      <c r="F61" s="591"/>
      <c r="G61" s="591"/>
      <c r="H61" s="591"/>
      <c r="I61" s="591"/>
      <c r="J61" s="591"/>
      <c r="K61" s="592"/>
      <c r="L61" s="401"/>
      <c r="M61" s="204" t="s">
        <v>211</v>
      </c>
      <c r="N61" s="195"/>
      <c r="O61" s="195"/>
      <c r="P61" s="49"/>
      <c r="Q61" s="49"/>
      <c r="R61" s="49"/>
      <c r="S61" s="49"/>
      <c r="T61" s="49"/>
      <c r="U61" s="49"/>
      <c r="V61" s="49"/>
      <c r="W61" s="49"/>
      <c r="X61" s="49"/>
      <c r="Y61" s="195"/>
    </row>
    <row r="62" spans="2:25" s="177" customFormat="1" ht="14.4" hidden="1" x14ac:dyDescent="0.3">
      <c r="B62" s="195"/>
      <c r="C62" s="400"/>
      <c r="D62" s="195"/>
      <c r="E62" s="205"/>
      <c r="F62" s="195"/>
      <c r="G62" s="206" t="s">
        <v>191</v>
      </c>
      <c r="H62" s="206" t="s">
        <v>192</v>
      </c>
      <c r="I62" s="206" t="s">
        <v>193</v>
      </c>
      <c r="J62" s="206" t="s">
        <v>212</v>
      </c>
      <c r="K62" s="207" t="s">
        <v>213</v>
      </c>
      <c r="L62" s="401"/>
      <c r="M62" s="195"/>
      <c r="N62" s="195"/>
      <c r="O62" s="195"/>
      <c r="P62" s="49"/>
      <c r="Q62" s="49"/>
      <c r="R62" s="49"/>
      <c r="S62" s="49"/>
      <c r="T62" s="49"/>
      <c r="U62" s="49"/>
      <c r="V62" s="49"/>
      <c r="W62" s="49"/>
      <c r="X62" s="49"/>
      <c r="Y62" s="195"/>
    </row>
    <row r="63" spans="2:25" s="177" customFormat="1" ht="14.4" hidden="1" x14ac:dyDescent="0.3">
      <c r="B63" s="195"/>
      <c r="C63" s="400"/>
      <c r="D63" s="195"/>
      <c r="E63" s="202" t="s">
        <v>214</v>
      </c>
      <c r="F63" s="195"/>
      <c r="G63" s="208">
        <f>IFERROR(IF(OR(RIGHT(G8,1)="%",ISNUMBER(G8)),H47*$G$8*H44,_xlfn.NUMBERVALUE(LEFT(G8,LEN(G8)-2))),0)</f>
        <v>10</v>
      </c>
      <c r="H63" s="208">
        <f>G63*I44</f>
        <v>3.5</v>
      </c>
      <c r="I63" s="208">
        <f>H63*J44</f>
        <v>0.875</v>
      </c>
      <c r="J63" s="209"/>
      <c r="K63" s="210"/>
      <c r="L63" s="401"/>
      <c r="M63" s="195"/>
      <c r="N63" s="195"/>
      <c r="O63" s="195"/>
      <c r="P63" s="49"/>
      <c r="Q63" s="49"/>
      <c r="R63" s="49"/>
      <c r="S63" s="49"/>
      <c r="T63" s="49"/>
      <c r="U63" s="49"/>
      <c r="V63" s="49"/>
      <c r="W63" s="49"/>
      <c r="X63" s="49"/>
      <c r="Y63" s="195"/>
    </row>
    <row r="64" spans="2:25" s="177" customFormat="1" ht="14.4" hidden="1" x14ac:dyDescent="0.3">
      <c r="B64" s="195"/>
      <c r="C64" s="400"/>
      <c r="D64" s="195"/>
      <c r="E64" s="202" t="s">
        <v>215</v>
      </c>
      <c r="F64" s="195"/>
      <c r="G64" s="211">
        <v>13</v>
      </c>
      <c r="H64" s="211">
        <v>36</v>
      </c>
      <c r="I64" s="211">
        <v>60</v>
      </c>
      <c r="J64" s="209"/>
      <c r="K64" s="210"/>
      <c r="L64" s="401"/>
      <c r="M64" s="195"/>
      <c r="N64" s="195"/>
      <c r="O64" s="195"/>
      <c r="P64" s="49"/>
      <c r="Q64" s="49"/>
      <c r="R64" s="49"/>
      <c r="S64" s="49"/>
      <c r="T64" s="49"/>
      <c r="U64" s="49"/>
      <c r="V64" s="49"/>
      <c r="W64" s="49"/>
      <c r="X64" s="49"/>
      <c r="Y64" s="195"/>
    </row>
    <row r="65" spans="2:25" s="177" customFormat="1" ht="14.4" hidden="1" x14ac:dyDescent="0.3">
      <c r="B65" s="195"/>
      <c r="C65" s="400"/>
      <c r="D65" s="195"/>
      <c r="E65" s="202" t="s">
        <v>216</v>
      </c>
      <c r="F65" s="195"/>
      <c r="G65" s="212">
        <f>H47</f>
        <v>1200</v>
      </c>
      <c r="H65" s="212">
        <f>I47</f>
        <v>350</v>
      </c>
      <c r="I65" s="212">
        <f>J47</f>
        <v>250</v>
      </c>
      <c r="J65" s="212">
        <f>SUM(G65:I65)</f>
        <v>1800</v>
      </c>
      <c r="K65" s="213">
        <f>J65*Cost_Setup!$H$7*12</f>
        <v>496.79999999999995</v>
      </c>
      <c r="L65" s="401"/>
      <c r="M65" s="195"/>
      <c r="N65" s="195"/>
      <c r="O65" s="195"/>
      <c r="P65" s="49"/>
      <c r="Q65" s="49"/>
      <c r="R65" s="49"/>
      <c r="S65" s="49"/>
      <c r="T65" s="49"/>
      <c r="U65" s="49"/>
      <c r="V65" s="49"/>
      <c r="W65" s="49"/>
      <c r="X65" s="49"/>
      <c r="Y65" s="195"/>
    </row>
    <row r="66" spans="2:25" s="177" customFormat="1" ht="14.4" hidden="1" x14ac:dyDescent="0.3">
      <c r="B66" s="195"/>
      <c r="C66" s="400"/>
      <c r="D66" s="195"/>
      <c r="E66" s="202" t="s">
        <v>217</v>
      </c>
      <c r="F66" s="195"/>
      <c r="G66" s="212">
        <f>G65+(((G63*7)*52)/12)</f>
        <v>1503.3333333333333</v>
      </c>
      <c r="H66" s="212">
        <f>IFERROR(IF(OR(RIGHT(G8,1)="%",ISNUMBER(G8)),(H65*_xlfn.NUMBERVALUE($G$8))+H65,_xlfn.NUMBERVALUE(LEFT(G8,LEN(G8)-2))+H65),0)</f>
        <v>360</v>
      </c>
      <c r="I66" s="212">
        <f>IFERROR(IF(OR(RIGHT(G8,1)="%",ISNUMBER(G8)),(I65*_xlfn.NUMBERVALUE($G$8))+I65,_xlfn.NUMBERVALUE(LEFT(G8,LEN(G8)-2))+I65),0)</f>
        <v>260</v>
      </c>
      <c r="J66" s="212">
        <f t="shared" ref="J66:J69" si="2">SUM(G66:I66)</f>
        <v>2123.333333333333</v>
      </c>
      <c r="K66" s="213">
        <f>J66*Cost_Setup!$H$7*12</f>
        <v>586.04</v>
      </c>
      <c r="L66" s="401"/>
      <c r="M66" s="195"/>
      <c r="N66" s="195"/>
      <c r="O66" s="195"/>
      <c r="P66" s="49"/>
      <c r="Q66" s="49"/>
      <c r="R66" s="49"/>
      <c r="S66" s="49"/>
      <c r="T66" s="49"/>
      <c r="U66" s="49"/>
      <c r="V66" s="49"/>
      <c r="W66" s="49"/>
      <c r="X66" s="49"/>
      <c r="Y66" s="195"/>
    </row>
    <row r="67" spans="2:25" s="177" customFormat="1" ht="14.4" hidden="1" x14ac:dyDescent="0.3">
      <c r="B67" s="195"/>
      <c r="C67" s="400"/>
      <c r="D67" s="195"/>
      <c r="E67" s="202" t="s">
        <v>218</v>
      </c>
      <c r="F67" s="195"/>
      <c r="G67" s="212">
        <f>IFERROR(IF(OR(RIGHT(G8,1)="%",ISNUMBER(G8)),(G66*_xlfn.NUMBERVALUE($G$8))+G66,_xlfn.NUMBERVALUE(LEFT(G8,LEN(G8)-2))+G66),0)</f>
        <v>1513.3333333333333</v>
      </c>
      <c r="H67" s="212">
        <f>IFERROR(IF(OR(RIGHT(G8,1)="%",ISNUMBER(G8)),(H66*_xlfn.NUMBERVALUE($G$8))+H66,_xlfn.NUMBERVALUE(LEFT(G8,LEN(G8)-2))+H66),0)</f>
        <v>370</v>
      </c>
      <c r="I67" s="212">
        <f>IFERROR(IF(OR(RIGHT(G8,1)="%",ISNUMBER(G8)),(I66*_xlfn.NUMBERVALUE($G$8))+I66,_xlfn.NUMBERVALUE(LEFT(G8,LEN(G8)-2))+I66),0)</f>
        <v>270</v>
      </c>
      <c r="J67" s="212">
        <f t="shared" si="2"/>
        <v>2153.333333333333</v>
      </c>
      <c r="K67" s="213">
        <f>J67*Cost_Setup!$H$7*12</f>
        <v>594.31999999999994</v>
      </c>
      <c r="L67" s="401"/>
      <c r="M67" s="195"/>
      <c r="N67" s="195"/>
      <c r="O67" s="195"/>
      <c r="P67" s="49"/>
      <c r="Q67" s="49"/>
      <c r="R67" s="49"/>
      <c r="S67" s="49"/>
      <c r="T67" s="49"/>
      <c r="U67" s="49"/>
      <c r="V67" s="49"/>
      <c r="W67" s="49"/>
      <c r="X67" s="49"/>
      <c r="Y67" s="195"/>
    </row>
    <row r="68" spans="2:25" s="177" customFormat="1" ht="14.4" hidden="1" x14ac:dyDescent="0.3">
      <c r="B68" s="195"/>
      <c r="C68" s="400"/>
      <c r="D68" s="195"/>
      <c r="E68" s="202" t="s">
        <v>219</v>
      </c>
      <c r="F68" s="195"/>
      <c r="G68" s="212">
        <f>IFERROR(IF(OR(RIGHT(G8,1)="%",ISNUMBER(G8)),(G67*_xlfn.NUMBERVALUE($G$8))+G67,_xlfn.NUMBERVALUE(LEFT(G8,LEN(G8)-2))+G67),0)</f>
        <v>1523.3333333333333</v>
      </c>
      <c r="H68" s="212">
        <f>H66+((H$63*7*52)/12)</f>
        <v>466.16666666666669</v>
      </c>
      <c r="I68" s="212">
        <f>IFERROR(IF(OR(RIGHT(G8,1)="%",ISNUMBER(G8)),(I67*_xlfn.NUMBERVALUE($G$8))+I67,_xlfn.NUMBERVALUE(LEFT(G8,LEN(G8)-2))+I67),0)</f>
        <v>280</v>
      </c>
      <c r="J68" s="212">
        <f t="shared" si="2"/>
        <v>2269.5</v>
      </c>
      <c r="K68" s="213">
        <f>J68*Cost_Setup!$H$7*12</f>
        <v>626.38199999999995</v>
      </c>
      <c r="L68" s="401"/>
      <c r="M68" s="195"/>
      <c r="N68" s="195"/>
      <c r="O68" s="195"/>
      <c r="P68" s="49"/>
      <c r="Q68" s="49"/>
      <c r="R68" s="49"/>
      <c r="S68" s="49"/>
      <c r="T68" s="49"/>
      <c r="U68" s="49"/>
      <c r="V68" s="49"/>
      <c r="W68" s="49"/>
      <c r="X68" s="49"/>
      <c r="Y68" s="195"/>
    </row>
    <row r="69" spans="2:25" s="177" customFormat="1" ht="15" hidden="1" thickBot="1" x14ac:dyDescent="0.35">
      <c r="B69" s="195"/>
      <c r="C69" s="400"/>
      <c r="D69" s="195"/>
      <c r="E69" s="203" t="s">
        <v>220</v>
      </c>
      <c r="F69" s="408"/>
      <c r="G69" s="214">
        <f>IFERROR(IF(OR(RIGHT(G8,1)="%",ISNUMBER(G8)),(G68*_xlfn.NUMBERVALUE($G$8))+G68,_xlfn.NUMBERVALUE(LEFT(G8,LEN(G8)-2))+G68),0)</f>
        <v>1533.3333333333333</v>
      </c>
      <c r="H69" s="214">
        <f>H67+((H$63*7*52)/12)</f>
        <v>476.16666666666669</v>
      </c>
      <c r="I69" s="214">
        <f>IFERROR(IF(OR(RIGHT(G8,1)="%",ISNUMBER(G8)),(I68*_xlfn.NUMBERVALUE($G$8))+I68,_xlfn.NUMBERVALUE(LEFT(G8,LEN(G8)-2))+I68),0)</f>
        <v>290</v>
      </c>
      <c r="J69" s="214">
        <f t="shared" si="2"/>
        <v>2299.5</v>
      </c>
      <c r="K69" s="215">
        <f>J69*Cost_Setup!$H$7*12</f>
        <v>634.66200000000003</v>
      </c>
      <c r="L69" s="401"/>
      <c r="M69" s="195"/>
      <c r="N69" s="195"/>
      <c r="O69" s="195"/>
      <c r="P69" s="49"/>
      <c r="Q69" s="49"/>
      <c r="R69" s="49"/>
      <c r="S69" s="49"/>
      <c r="T69" s="49"/>
      <c r="U69" s="49"/>
      <c r="V69" s="49"/>
      <c r="W69" s="49"/>
      <c r="X69" s="49"/>
      <c r="Y69" s="195"/>
    </row>
    <row r="70" spans="2:25" s="177" customFormat="1" ht="14.4" hidden="1" x14ac:dyDescent="0.3">
      <c r="B70" s="195"/>
      <c r="C70" s="400"/>
      <c r="D70" s="195"/>
      <c r="E70" s="195"/>
      <c r="F70" s="195"/>
      <c r="G70" s="195"/>
      <c r="H70" s="195"/>
      <c r="I70" s="195"/>
      <c r="J70" s="195"/>
      <c r="K70" s="195"/>
      <c r="L70" s="401"/>
      <c r="M70" s="195"/>
      <c r="N70" s="195"/>
      <c r="O70" s="195"/>
      <c r="P70" s="49"/>
      <c r="Q70" s="49"/>
      <c r="R70" s="49"/>
      <c r="S70" s="49"/>
      <c r="T70" s="49"/>
      <c r="U70" s="49"/>
      <c r="V70" s="49"/>
      <c r="W70" s="49"/>
      <c r="X70" s="49"/>
      <c r="Y70" s="195"/>
    </row>
    <row r="71" spans="2:25" s="177" customFormat="1" ht="14.4" hidden="1" x14ac:dyDescent="0.3">
      <c r="B71" s="195"/>
      <c r="C71" s="400"/>
      <c r="D71" s="195"/>
      <c r="E71" s="195"/>
      <c r="F71" s="195"/>
      <c r="G71" s="195"/>
      <c r="H71" s="195"/>
      <c r="I71" s="195"/>
      <c r="J71" s="195"/>
      <c r="K71" s="195"/>
      <c r="L71" s="401"/>
      <c r="M71" s="195"/>
      <c r="N71" s="195"/>
      <c r="O71" s="195"/>
      <c r="P71" s="49"/>
      <c r="Q71" s="49"/>
      <c r="R71" s="49"/>
      <c r="S71" s="49"/>
      <c r="T71" s="49"/>
      <c r="U71" s="49"/>
      <c r="V71" s="49"/>
      <c r="W71" s="49"/>
      <c r="X71" s="49"/>
      <c r="Y71" s="195"/>
    </row>
    <row r="72" spans="2:25" s="177" customFormat="1" ht="14.4" hidden="1" x14ac:dyDescent="0.3">
      <c r="B72" s="195"/>
      <c r="C72" s="400"/>
      <c r="D72" s="195"/>
      <c r="E72" s="195"/>
      <c r="F72" s="195"/>
      <c r="G72" s="195"/>
      <c r="H72" s="195"/>
      <c r="I72" s="195"/>
      <c r="J72" s="195"/>
      <c r="K72" s="195"/>
      <c r="L72" s="401"/>
      <c r="M72" s="195"/>
      <c r="N72" s="195"/>
      <c r="O72" s="195"/>
      <c r="P72" s="49"/>
      <c r="Q72" s="49"/>
      <c r="R72" s="49"/>
      <c r="S72" s="49"/>
      <c r="T72" s="49"/>
      <c r="U72" s="49"/>
      <c r="V72" s="49"/>
      <c r="W72" s="49"/>
      <c r="X72" s="49"/>
      <c r="Y72" s="195"/>
    </row>
    <row r="73" spans="2:25" s="177" customFormat="1" ht="15" thickBot="1" x14ac:dyDescent="0.35">
      <c r="B73" s="195"/>
      <c r="C73" s="409"/>
      <c r="D73" s="408"/>
      <c r="E73" s="408"/>
      <c r="F73" s="408"/>
      <c r="G73" s="408"/>
      <c r="H73" s="408"/>
      <c r="I73" s="408"/>
      <c r="J73" s="408"/>
      <c r="K73" s="408"/>
      <c r="L73" s="410"/>
      <c r="M73" s="195"/>
      <c r="N73" s="195"/>
      <c r="O73" s="195"/>
      <c r="P73" s="49"/>
      <c r="Q73" s="49"/>
      <c r="R73" s="49"/>
      <c r="S73" s="49"/>
      <c r="T73" s="49"/>
      <c r="U73" s="49"/>
      <c r="V73" s="49"/>
      <c r="W73" s="49"/>
      <c r="X73" s="49"/>
      <c r="Y73" s="195"/>
    </row>
    <row r="74" spans="2:25" s="177" customFormat="1" ht="14.4" x14ac:dyDescent="0.3">
      <c r="B74" s="49"/>
      <c r="C74" s="49"/>
      <c r="D74" s="49"/>
      <c r="E74" s="49"/>
      <c r="F74" s="49"/>
      <c r="G74" s="49"/>
      <c r="H74" s="49"/>
      <c r="I74" s="49"/>
      <c r="J74" s="49"/>
      <c r="K74" s="49"/>
      <c r="L74" s="49"/>
      <c r="M74" s="49"/>
      <c r="N74" s="49"/>
      <c r="O74" s="195"/>
      <c r="P74" s="49"/>
      <c r="Q74" s="49"/>
      <c r="R74" s="49"/>
      <c r="S74" s="49"/>
      <c r="T74" s="49"/>
      <c r="U74" s="49"/>
      <c r="V74" s="49"/>
      <c r="W74" s="49"/>
      <c r="X74" s="49"/>
      <c r="Y74" s="195"/>
    </row>
    <row r="75" spans="2:25" s="177" customFormat="1" ht="15" thickBot="1" x14ac:dyDescent="0.35">
      <c r="B75" s="195"/>
      <c r="C75" s="195"/>
      <c r="D75" s="195"/>
      <c r="E75" s="195"/>
      <c r="F75" s="195"/>
      <c r="G75" s="195"/>
      <c r="H75" s="195"/>
      <c r="I75" s="195"/>
      <c r="J75" s="195"/>
      <c r="K75" s="195"/>
      <c r="L75" s="195"/>
      <c r="M75" s="195"/>
      <c r="N75" s="195"/>
      <c r="O75" s="195"/>
      <c r="P75" s="49"/>
      <c r="Q75" s="49"/>
      <c r="R75" s="49"/>
      <c r="S75" s="49"/>
      <c r="T75" s="49"/>
      <c r="U75" s="49"/>
      <c r="V75" s="49"/>
      <c r="W75" s="49"/>
      <c r="X75" s="49"/>
      <c r="Y75" s="195"/>
    </row>
    <row r="76" spans="2:25" s="177" customFormat="1" ht="23.4" x14ac:dyDescent="0.45">
      <c r="B76" s="195"/>
      <c r="C76" s="188" t="s">
        <v>221</v>
      </c>
      <c r="D76" s="398"/>
      <c r="E76" s="398"/>
      <c r="F76" s="398"/>
      <c r="G76" s="398"/>
      <c r="H76" s="398"/>
      <c r="I76" s="398"/>
      <c r="J76" s="398"/>
      <c r="K76" s="398"/>
      <c r="L76" s="399"/>
      <c r="M76" s="195"/>
      <c r="N76" s="195"/>
      <c r="O76" s="195"/>
      <c r="P76" s="49"/>
      <c r="Q76" s="49"/>
      <c r="R76" s="49"/>
      <c r="S76" s="49"/>
      <c r="T76" s="49"/>
      <c r="U76" s="49"/>
      <c r="V76" s="49"/>
      <c r="W76" s="49"/>
      <c r="X76" s="49"/>
      <c r="Y76" s="195"/>
    </row>
    <row r="77" spans="2:25" s="177" customFormat="1" ht="14.4" x14ac:dyDescent="0.3">
      <c r="B77" s="195"/>
      <c r="C77" s="400"/>
      <c r="D77" s="195"/>
      <c r="E77" s="195"/>
      <c r="F77" s="195"/>
      <c r="G77" s="195"/>
      <c r="H77" s="195"/>
      <c r="I77" s="195"/>
      <c r="J77" s="195"/>
      <c r="K77" s="195"/>
      <c r="L77" s="401"/>
      <c r="M77" s="195"/>
      <c r="N77" s="195"/>
      <c r="O77" s="195"/>
      <c r="P77" s="49"/>
      <c r="Q77" s="49"/>
      <c r="R77" s="49"/>
      <c r="S77" s="49"/>
      <c r="T77" s="49"/>
      <c r="U77" s="49"/>
      <c r="V77" s="49"/>
      <c r="W77" s="49"/>
      <c r="X77" s="49"/>
      <c r="Y77" s="195"/>
    </row>
    <row r="78" spans="2:25" s="177" customFormat="1" ht="15" thickBot="1" x14ac:dyDescent="0.35">
      <c r="B78" s="195"/>
      <c r="C78" s="400"/>
      <c r="D78" s="195"/>
      <c r="E78" s="195"/>
      <c r="F78" s="195"/>
      <c r="G78" s="195"/>
      <c r="H78" s="195"/>
      <c r="I78" s="195"/>
      <c r="J78" s="195"/>
      <c r="K78" s="195"/>
      <c r="L78" s="401"/>
      <c r="M78" s="195"/>
      <c r="N78" s="195"/>
      <c r="O78" s="195"/>
      <c r="P78" s="49"/>
      <c r="Q78" s="49"/>
      <c r="R78" s="49"/>
      <c r="S78" s="49"/>
      <c r="T78" s="49"/>
      <c r="U78" s="49"/>
      <c r="V78" s="49"/>
      <c r="W78" s="49"/>
      <c r="X78" s="49"/>
      <c r="Y78" s="195"/>
    </row>
    <row r="79" spans="2:25" s="177" customFormat="1" ht="28.8" x14ac:dyDescent="0.3">
      <c r="B79" s="195"/>
      <c r="C79" s="400"/>
      <c r="D79" s="195"/>
      <c r="E79" s="195"/>
      <c r="F79" s="195"/>
      <c r="G79" s="216" t="s">
        <v>222</v>
      </c>
      <c r="H79" s="216" t="s">
        <v>223</v>
      </c>
      <c r="I79" s="216" t="s">
        <v>224</v>
      </c>
      <c r="J79" s="195"/>
      <c r="K79" s="195"/>
      <c r="L79" s="401"/>
      <c r="M79" s="195"/>
      <c r="N79" s="195"/>
      <c r="O79" s="195"/>
      <c r="P79" s="49"/>
      <c r="Q79" s="49"/>
      <c r="R79" s="49"/>
      <c r="S79" s="49"/>
      <c r="T79" s="49"/>
      <c r="U79" s="49"/>
      <c r="V79" s="49"/>
      <c r="W79" s="49"/>
      <c r="X79" s="49"/>
      <c r="Y79" s="195"/>
    </row>
    <row r="80" spans="2:25" s="177" customFormat="1" ht="14.4" x14ac:dyDescent="0.3">
      <c r="B80" s="195"/>
      <c r="C80" s="400"/>
      <c r="D80" s="195"/>
      <c r="E80" s="217" t="s">
        <v>221</v>
      </c>
      <c r="F80" s="49"/>
      <c r="G80" s="218">
        <f>SUM(J90+J93+K96)</f>
        <v>276</v>
      </c>
      <c r="H80" s="218">
        <f>G80*7</f>
        <v>1932</v>
      </c>
      <c r="I80" s="218">
        <f>H80*52/12</f>
        <v>8372</v>
      </c>
      <c r="J80" s="195"/>
      <c r="K80" s="195"/>
      <c r="L80" s="401"/>
      <c r="M80" s="195"/>
      <c r="N80" s="195"/>
      <c r="O80" s="195"/>
      <c r="P80" s="49"/>
      <c r="Q80" s="49"/>
      <c r="R80" s="49"/>
      <c r="S80" s="49"/>
      <c r="T80" s="49"/>
      <c r="U80" s="49"/>
      <c r="V80" s="49"/>
      <c r="W80" s="49"/>
      <c r="X80" s="49"/>
      <c r="Y80" s="195"/>
    </row>
    <row r="81" spans="2:25" s="177" customFormat="1" ht="14.4" x14ac:dyDescent="0.3">
      <c r="B81" s="195"/>
      <c r="C81" s="400"/>
      <c r="D81" s="195"/>
      <c r="E81" s="219" t="s">
        <v>225</v>
      </c>
      <c r="F81" s="49"/>
      <c r="G81" s="220" t="str">
        <f>VLOOKUP($G$80,FabricMapping!$C$11:$F$21,4,1)</f>
        <v>F2</v>
      </c>
      <c r="H81" s="220" t="str">
        <f>VLOOKUP($H$80,FabricMapping!$D$11:$F$21,3,1)</f>
        <v>F2</v>
      </c>
      <c r="I81" s="220" t="str">
        <f>VLOOKUP($I$80,FabricMapping!$E$11:$F$21,2,1)</f>
        <v>F2</v>
      </c>
      <c r="J81" s="195"/>
      <c r="K81" s="195"/>
      <c r="L81" s="401"/>
      <c r="M81" s="195"/>
      <c r="N81" s="195"/>
      <c r="O81" s="195"/>
      <c r="P81" s="49"/>
      <c r="Q81" s="49"/>
      <c r="R81" s="49"/>
      <c r="S81" s="49"/>
      <c r="T81" s="49"/>
      <c r="U81" s="49"/>
      <c r="V81" s="49"/>
      <c r="W81" s="49"/>
      <c r="X81" s="49"/>
      <c r="Y81" s="195"/>
    </row>
    <row r="82" spans="2:25" s="177" customFormat="1" ht="14.4" x14ac:dyDescent="0.3">
      <c r="B82" s="195"/>
      <c r="C82" s="400"/>
      <c r="D82" s="195"/>
      <c r="E82" s="219" t="s">
        <v>226</v>
      </c>
      <c r="F82" s="49"/>
      <c r="G82" s="218">
        <f>VLOOKUP(G81,FabricMapping!$F$10:$J$21,3,0)</f>
        <v>2880</v>
      </c>
      <c r="H82" s="218">
        <f>VLOOKUP(H81,FabricMapping!$F$10:$J$21,4,0)</f>
        <v>20160</v>
      </c>
      <c r="I82" s="218">
        <f>VLOOKUP(I81,FabricMapping!$F$10:$J$21,5,0)</f>
        <v>87360</v>
      </c>
      <c r="J82" s="195"/>
      <c r="K82" s="195"/>
      <c r="L82" s="401"/>
      <c r="M82" s="195"/>
      <c r="N82" s="195"/>
      <c r="O82" s="195"/>
      <c r="P82" s="49"/>
      <c r="Q82" s="49"/>
      <c r="R82" s="49"/>
      <c r="S82" s="49"/>
      <c r="T82" s="49"/>
      <c r="U82" s="49"/>
      <c r="V82" s="49"/>
      <c r="W82" s="49"/>
      <c r="X82" s="49"/>
      <c r="Y82" s="195"/>
    </row>
    <row r="83" spans="2:25" s="177" customFormat="1" ht="18" hidden="1" x14ac:dyDescent="0.35">
      <c r="B83" s="221"/>
      <c r="C83" s="400"/>
      <c r="D83" s="195"/>
      <c r="E83" s="219" t="s">
        <v>227</v>
      </c>
      <c r="F83" s="49"/>
      <c r="G83" s="222">
        <f>G82*Cost_Setup!$F$7/60</f>
        <v>8.6399999999999988</v>
      </c>
      <c r="H83" s="222">
        <f>H82*Cost_Setup!$F$7/60</f>
        <v>60.48</v>
      </c>
      <c r="I83" s="222">
        <f>I82*Cost_Setup!$F$7/60</f>
        <v>262.08</v>
      </c>
      <c r="J83" s="195"/>
      <c r="K83" s="195"/>
      <c r="L83" s="401"/>
      <c r="M83" s="195"/>
      <c r="N83" s="195"/>
      <c r="O83" s="195"/>
      <c r="P83" s="49"/>
      <c r="Q83" s="49"/>
      <c r="R83" s="49"/>
      <c r="S83" s="49"/>
      <c r="T83" s="49"/>
      <c r="U83" s="49"/>
      <c r="V83" s="49"/>
      <c r="W83" s="49"/>
      <c r="X83" s="49"/>
      <c r="Y83" s="195"/>
    </row>
    <row r="84" spans="2:25" s="177" customFormat="1" ht="14.4" x14ac:dyDescent="0.3">
      <c r="B84" s="195"/>
      <c r="C84" s="400"/>
      <c r="D84" s="195"/>
      <c r="E84" s="219" t="s">
        <v>228</v>
      </c>
      <c r="F84" s="49"/>
      <c r="G84" s="223">
        <f>G80/G82</f>
        <v>9.583333333333334E-2</v>
      </c>
      <c r="H84" s="223">
        <f t="shared" ref="H84:I84" si="3">H80/H82</f>
        <v>9.583333333333334E-2</v>
      </c>
      <c r="I84" s="223">
        <f t="shared" si="3"/>
        <v>9.583333333333334E-2</v>
      </c>
      <c r="J84" s="195"/>
      <c r="K84" s="195"/>
      <c r="L84" s="401"/>
      <c r="M84" s="195"/>
      <c r="N84" s="195"/>
      <c r="O84" s="195"/>
      <c r="P84" s="49"/>
      <c r="Q84" s="49"/>
      <c r="R84" s="49"/>
      <c r="S84" s="49"/>
      <c r="T84" s="49"/>
      <c r="U84" s="49"/>
      <c r="V84" s="49"/>
      <c r="W84" s="49"/>
      <c r="X84" s="49"/>
      <c r="Y84" s="195"/>
    </row>
    <row r="85" spans="2:25" s="177" customFormat="1" ht="14.4" x14ac:dyDescent="0.3">
      <c r="B85" s="195"/>
      <c r="C85" s="400"/>
      <c r="D85" s="195"/>
      <c r="E85" s="195"/>
      <c r="F85" s="195"/>
      <c r="G85" s="195"/>
      <c r="H85" s="195"/>
      <c r="I85" s="195"/>
      <c r="J85" s="195"/>
      <c r="K85" s="195"/>
      <c r="L85" s="401"/>
      <c r="M85" s="195"/>
      <c r="N85" s="195"/>
      <c r="O85" s="195"/>
      <c r="P85" s="49"/>
      <c r="Q85" s="49"/>
      <c r="R85" s="49"/>
      <c r="S85" s="49"/>
      <c r="T85" s="49"/>
      <c r="U85" s="49"/>
      <c r="V85" s="49"/>
      <c r="W85" s="49"/>
      <c r="X85" s="49"/>
      <c r="Y85" s="195"/>
    </row>
    <row r="86" spans="2:25" s="177" customFormat="1" ht="14.4" x14ac:dyDescent="0.3">
      <c r="B86" s="195"/>
      <c r="C86" s="400"/>
      <c r="D86" s="195"/>
      <c r="E86" s="195"/>
      <c r="F86" s="195"/>
      <c r="G86" s="195"/>
      <c r="H86" s="195"/>
      <c r="I86" s="195"/>
      <c r="J86" s="195"/>
      <c r="K86" s="195"/>
      <c r="L86" s="401"/>
      <c r="M86" s="195"/>
      <c r="N86" s="195"/>
      <c r="O86" s="195"/>
      <c r="P86" s="49"/>
      <c r="Q86" s="49"/>
      <c r="R86" s="49"/>
      <c r="S86" s="49"/>
      <c r="T86" s="49"/>
      <c r="U86" s="49"/>
      <c r="V86" s="49"/>
      <c r="W86" s="49"/>
      <c r="X86" s="49"/>
      <c r="Y86" s="195"/>
    </row>
    <row r="87" spans="2:25" s="177" customFormat="1" ht="15" thickBot="1" x14ac:dyDescent="0.35">
      <c r="B87" s="195"/>
      <c r="C87" s="400"/>
      <c r="D87" s="195"/>
      <c r="E87" s="195"/>
      <c r="F87" s="195"/>
      <c r="G87" s="195"/>
      <c r="H87" s="195"/>
      <c r="I87" s="195"/>
      <c r="J87" s="195"/>
      <c r="K87" s="195"/>
      <c r="L87" s="401"/>
      <c r="M87" s="195"/>
      <c r="N87" s="195"/>
      <c r="O87" s="195"/>
      <c r="P87" s="49"/>
      <c r="Q87" s="49"/>
      <c r="R87" s="49"/>
      <c r="S87" s="49"/>
      <c r="T87" s="49"/>
      <c r="U87" s="49"/>
      <c r="V87" s="49"/>
      <c r="W87" s="49"/>
      <c r="X87" s="49"/>
      <c r="Y87" s="195"/>
    </row>
    <row r="88" spans="2:25" s="177" customFormat="1" ht="14.4" x14ac:dyDescent="0.3">
      <c r="B88" s="195"/>
      <c r="C88" s="400"/>
      <c r="D88" s="195"/>
      <c r="E88" s="561" t="s">
        <v>229</v>
      </c>
      <c r="F88" s="195"/>
      <c r="G88" s="563" t="s">
        <v>230</v>
      </c>
      <c r="H88" s="564"/>
      <c r="I88" s="564"/>
      <c r="J88" s="564"/>
      <c r="K88" s="565"/>
      <c r="L88" s="401"/>
      <c r="M88" s="195"/>
      <c r="N88" s="195"/>
      <c r="O88" s="195"/>
      <c r="P88" s="49"/>
      <c r="Q88" s="49"/>
      <c r="R88" s="49"/>
      <c r="S88" s="49"/>
      <c r="T88" s="49"/>
      <c r="U88" s="49"/>
      <c r="V88" s="49"/>
      <c r="W88" s="49"/>
      <c r="X88" s="49"/>
      <c r="Y88" s="195"/>
    </row>
    <row r="89" spans="2:25" s="177" customFormat="1" ht="14.4" x14ac:dyDescent="0.3">
      <c r="B89" s="195"/>
      <c r="C89" s="400"/>
      <c r="D89" s="195"/>
      <c r="E89" s="561"/>
      <c r="F89" s="195"/>
      <c r="G89" s="202" t="s">
        <v>231</v>
      </c>
      <c r="H89" s="567" t="s">
        <v>232</v>
      </c>
      <c r="I89" s="567"/>
      <c r="J89" s="567" t="s">
        <v>233</v>
      </c>
      <c r="K89" s="568"/>
      <c r="L89" s="401"/>
      <c r="M89" s="195"/>
      <c r="N89" s="195"/>
      <c r="O89" s="195"/>
      <c r="P89" s="49"/>
      <c r="Q89" s="49"/>
      <c r="R89" s="49"/>
      <c r="S89" s="49"/>
      <c r="T89" s="49"/>
      <c r="U89" s="49"/>
      <c r="V89" s="49"/>
      <c r="W89" s="49"/>
      <c r="X89" s="49"/>
      <c r="Y89" s="195"/>
    </row>
    <row r="90" spans="2:25" s="177" customFormat="1" ht="15" thickBot="1" x14ac:dyDescent="0.35">
      <c r="B90" s="195"/>
      <c r="C90" s="400"/>
      <c r="D90" s="195"/>
      <c r="E90" s="561"/>
      <c r="F90" s="195"/>
      <c r="G90" s="225">
        <f>IFERROR(IF(OR(RIGHT(G8,1)="%",ISNUMBER(G8)),ROUNDUP((($H$46*1024)*$G$8)/ROUNDUP($G$6*110%,0),0),ROUNDUP(((LEFT(G8,LEN(G8)-2)*1024))/ROUNDUP($G$6*110%,0),0)),0)</f>
        <v>47</v>
      </c>
      <c r="H90" s="570">
        <f>IFERROR(ROUNDUP(((($G$90/((1000/8)*$L$14))+10)*(4*FabricMapping!$AN$26))/60,2),0)</f>
        <v>1.06</v>
      </c>
      <c r="I90" s="570"/>
      <c r="J90" s="570">
        <f>ROUNDUP($H$90*($G$6*110%),0)*$G$5</f>
        <v>234</v>
      </c>
      <c r="K90" s="571"/>
      <c r="L90" s="401"/>
      <c r="M90" s="195"/>
      <c r="N90" s="228"/>
      <c r="O90" s="195"/>
      <c r="P90" s="49"/>
      <c r="Q90" s="49"/>
      <c r="R90" s="49"/>
      <c r="S90" s="49"/>
      <c r="T90" s="49"/>
      <c r="U90" s="49"/>
      <c r="V90" s="49"/>
      <c r="W90" s="49"/>
      <c r="X90" s="49"/>
      <c r="Y90" s="195"/>
    </row>
    <row r="91" spans="2:25" s="177" customFormat="1" ht="15" thickBot="1" x14ac:dyDescent="0.35">
      <c r="B91" s="195"/>
      <c r="C91" s="400"/>
      <c r="D91" s="195"/>
      <c r="E91" s="561"/>
      <c r="F91" s="195"/>
      <c r="G91" s="195"/>
      <c r="H91" s="195"/>
      <c r="I91" s="195"/>
      <c r="J91" s="195"/>
      <c r="K91" s="195"/>
      <c r="L91" s="401"/>
      <c r="M91" s="195"/>
      <c r="N91" s="195"/>
      <c r="O91" s="195"/>
      <c r="P91" s="49"/>
      <c r="Q91" s="49"/>
      <c r="R91" s="49"/>
      <c r="S91" s="49"/>
      <c r="T91" s="49"/>
      <c r="U91" s="49"/>
      <c r="V91" s="49"/>
      <c r="W91" s="49"/>
      <c r="X91" s="49"/>
      <c r="Y91" s="195"/>
    </row>
    <row r="92" spans="2:25" s="177" customFormat="1" ht="14.4" x14ac:dyDescent="0.3">
      <c r="B92" s="195"/>
      <c r="C92" s="400"/>
      <c r="D92" s="195"/>
      <c r="E92" s="561"/>
      <c r="F92" s="195"/>
      <c r="G92" s="229" t="s">
        <v>234</v>
      </c>
      <c r="H92" s="577" t="s">
        <v>232</v>
      </c>
      <c r="I92" s="577" t="s">
        <v>235</v>
      </c>
      <c r="J92" s="577" t="s">
        <v>235</v>
      </c>
      <c r="K92" s="578"/>
      <c r="L92" s="401"/>
      <c r="M92" s="195"/>
      <c r="N92" s="195"/>
      <c r="O92" s="195"/>
      <c r="P92" s="49"/>
      <c r="Q92" s="49"/>
      <c r="R92" s="49"/>
      <c r="S92" s="49"/>
      <c r="T92" s="49"/>
      <c r="U92" s="49"/>
      <c r="V92" s="49"/>
      <c r="W92" s="49"/>
      <c r="X92" s="49"/>
      <c r="Y92" s="195"/>
    </row>
    <row r="93" spans="2:25" s="177" customFormat="1" ht="18.75" customHeight="1" thickBot="1" x14ac:dyDescent="0.35">
      <c r="B93" s="195"/>
      <c r="C93" s="400"/>
      <c r="D93" s="195"/>
      <c r="E93" s="561"/>
      <c r="F93" s="195"/>
      <c r="G93" s="225">
        <v>25</v>
      </c>
      <c r="H93" s="570">
        <f>(G93)*(0.336/60)</f>
        <v>0.13999999999999999</v>
      </c>
      <c r="I93" s="570"/>
      <c r="J93" s="570">
        <f>H93*$G$6*$G$5</f>
        <v>27.999999999999996</v>
      </c>
      <c r="K93" s="571"/>
      <c r="L93" s="401"/>
      <c r="M93" s="195"/>
      <c r="N93" s="228"/>
      <c r="O93" s="195"/>
      <c r="P93" s="49"/>
      <c r="Q93" s="49"/>
      <c r="R93" s="49"/>
      <c r="S93" s="49"/>
      <c r="T93" s="49"/>
      <c r="U93" s="49"/>
      <c r="V93" s="49"/>
      <c r="W93" s="49"/>
      <c r="X93" s="49"/>
      <c r="Y93" s="195"/>
    </row>
    <row r="94" spans="2:25" s="177" customFormat="1" ht="14.4" x14ac:dyDescent="0.3">
      <c r="B94" s="195"/>
      <c r="C94" s="400"/>
      <c r="D94" s="195"/>
      <c r="E94" s="561"/>
      <c r="F94" s="195"/>
      <c r="G94" s="195"/>
      <c r="H94" s="195"/>
      <c r="I94" s="195"/>
      <c r="J94" s="195"/>
      <c r="K94" s="195"/>
      <c r="L94" s="401"/>
      <c r="M94" s="195"/>
      <c r="N94" s="195"/>
      <c r="O94" s="195"/>
      <c r="P94" s="49"/>
      <c r="Q94" s="49"/>
      <c r="R94" s="49"/>
      <c r="S94" s="49"/>
      <c r="T94" s="49"/>
      <c r="U94" s="49"/>
      <c r="V94" s="49"/>
      <c r="W94" s="49"/>
      <c r="X94" s="49"/>
      <c r="Y94" s="195"/>
    </row>
    <row r="95" spans="2:25" s="177" customFormat="1" ht="14.4" x14ac:dyDescent="0.3">
      <c r="B95" s="195"/>
      <c r="C95" s="400"/>
      <c r="D95" s="195"/>
      <c r="E95" s="561"/>
      <c r="F95" s="195"/>
      <c r="G95" s="481" t="s">
        <v>205</v>
      </c>
      <c r="H95" s="482" t="s">
        <v>236</v>
      </c>
      <c r="I95" s="482" t="s">
        <v>237</v>
      </c>
      <c r="J95" s="482" t="s">
        <v>238</v>
      </c>
      <c r="K95" s="483" t="s">
        <v>209</v>
      </c>
      <c r="L95" s="401"/>
      <c r="M95" s="195"/>
      <c r="N95" s="195"/>
      <c r="O95" s="195"/>
      <c r="P95" s="49"/>
      <c r="Q95" s="49"/>
      <c r="R95" s="49"/>
      <c r="S95" s="49"/>
      <c r="T95" s="49"/>
      <c r="U95" s="49"/>
      <c r="V95" s="49"/>
      <c r="W95" s="49"/>
      <c r="X95" s="49"/>
      <c r="Y95" s="195"/>
    </row>
    <row r="96" spans="2:25" s="177" customFormat="1" ht="14.4" x14ac:dyDescent="0.3">
      <c r="B96" s="195"/>
      <c r="C96" s="400"/>
      <c r="D96" s="195"/>
      <c r="E96" s="561"/>
      <c r="F96" s="195"/>
      <c r="G96" s="484">
        <f>ROUNDUP(($G$6*$G$5)*FabricMapping!$AR$61,0)</f>
        <v>1</v>
      </c>
      <c r="H96" s="485">
        <f>ROUNDUP((($G$90/4)*$G$6*$G$5)*FabricMapping!$AR$62,0)</f>
        <v>7</v>
      </c>
      <c r="I96" s="485">
        <f>ROUNDUP(($G$6*$G$5)*FabricMapping!$AR$63,0)</f>
        <v>1</v>
      </c>
      <c r="J96" s="485">
        <f>ROUNDUP(($G$6*$G$5)*FabricMapping!$AR$64,0)</f>
        <v>5</v>
      </c>
      <c r="K96" s="486">
        <f>SUM(G96:J96)</f>
        <v>14</v>
      </c>
      <c r="L96" s="401"/>
      <c r="M96" s="195"/>
      <c r="N96" s="195"/>
      <c r="O96" s="195"/>
      <c r="P96" s="49"/>
      <c r="Q96" s="49"/>
      <c r="R96" s="49"/>
      <c r="S96" s="49"/>
      <c r="T96" s="49"/>
      <c r="U96" s="49"/>
      <c r="V96" s="49"/>
      <c r="W96" s="49"/>
      <c r="X96" s="49"/>
      <c r="Y96" s="195"/>
    </row>
    <row r="97" spans="2:24" s="177" customFormat="1" ht="15" thickBot="1" x14ac:dyDescent="0.35">
      <c r="B97" s="195"/>
      <c r="C97" s="409"/>
      <c r="D97" s="408"/>
      <c r="E97" s="408"/>
      <c r="F97" s="408"/>
      <c r="G97" s="408"/>
      <c r="H97" s="408"/>
      <c r="I97" s="408"/>
      <c r="J97" s="408"/>
      <c r="K97" s="408"/>
      <c r="L97" s="410"/>
      <c r="M97" s="195"/>
      <c r="N97" s="195"/>
      <c r="O97" s="195"/>
      <c r="P97" s="49"/>
      <c r="Q97" s="49"/>
      <c r="R97" s="49"/>
      <c r="S97" s="49"/>
      <c r="T97" s="49"/>
      <c r="U97" s="49"/>
      <c r="V97" s="49"/>
      <c r="W97" s="49"/>
      <c r="X97" s="49"/>
    </row>
    <row r="98" spans="2:24" s="177" customFormat="1" ht="14.4" x14ac:dyDescent="0.3">
      <c r="B98" s="195"/>
      <c r="C98" s="195"/>
      <c r="D98" s="195"/>
      <c r="E98" s="195"/>
      <c r="F98" s="195"/>
      <c r="G98" s="195"/>
      <c r="H98" s="195"/>
      <c r="I98" s="195"/>
      <c r="J98" s="195"/>
      <c r="K98" s="195"/>
      <c r="L98" s="195"/>
      <c r="M98" s="195"/>
      <c r="N98" s="195"/>
      <c r="O98" s="195"/>
      <c r="P98" s="49"/>
      <c r="Q98" s="49"/>
      <c r="R98" s="49"/>
      <c r="S98" s="49"/>
      <c r="T98" s="49"/>
      <c r="U98" s="49"/>
      <c r="V98" s="49"/>
      <c r="W98" s="49"/>
      <c r="X98" s="49"/>
    </row>
    <row r="99" spans="2:24" s="177" customFormat="1" ht="14.4" x14ac:dyDescent="0.3">
      <c r="B99" s="195"/>
      <c r="C99" s="195"/>
      <c r="D99" s="195"/>
      <c r="E99" s="195"/>
      <c r="F99" s="195"/>
      <c r="G99" s="195"/>
      <c r="H99" s="195"/>
      <c r="I99" s="195"/>
      <c r="J99" s="195"/>
      <c r="K99" s="195"/>
      <c r="L99" s="195"/>
      <c r="M99" s="195"/>
      <c r="N99" s="195"/>
      <c r="O99" s="195"/>
      <c r="P99" s="49"/>
      <c r="Q99" s="49"/>
      <c r="R99" s="49"/>
      <c r="S99" s="49"/>
      <c r="T99" s="49"/>
      <c r="U99" s="49"/>
      <c r="V99" s="49"/>
      <c r="W99" s="49"/>
      <c r="X99" s="49"/>
    </row>
    <row r="100" spans="2:24" s="177" customFormat="1" ht="15" thickBot="1" x14ac:dyDescent="0.35">
      <c r="B100" s="195"/>
      <c r="C100" s="195"/>
      <c r="D100" s="195"/>
      <c r="E100" s="195"/>
      <c r="F100" s="195"/>
      <c r="G100" s="195"/>
      <c r="H100" s="195"/>
      <c r="I100" s="195"/>
      <c r="J100" s="195"/>
      <c r="K100" s="195"/>
      <c r="L100" s="195"/>
      <c r="M100" s="195"/>
      <c r="N100" s="195"/>
      <c r="O100" s="195"/>
      <c r="P100" s="49"/>
      <c r="Q100" s="49"/>
      <c r="R100" s="49"/>
      <c r="S100" s="49"/>
      <c r="T100" s="49"/>
      <c r="U100" s="49"/>
      <c r="V100" s="49"/>
      <c r="W100" s="49"/>
      <c r="X100" s="49"/>
    </row>
    <row r="101" spans="2:24" s="177" customFormat="1" ht="23.4" x14ac:dyDescent="0.45">
      <c r="B101" s="195"/>
      <c r="C101" s="188" t="s">
        <v>239</v>
      </c>
      <c r="D101" s="398"/>
      <c r="E101" s="398"/>
      <c r="F101" s="398"/>
      <c r="G101" s="398"/>
      <c r="H101" s="398"/>
      <c r="I101" s="398"/>
      <c r="J101" s="398"/>
      <c r="K101" s="398"/>
      <c r="L101" s="399"/>
      <c r="M101" s="195"/>
      <c r="N101" s="195"/>
      <c r="O101" s="195"/>
      <c r="P101" s="49"/>
      <c r="Q101" s="49"/>
      <c r="R101" s="49"/>
      <c r="S101" s="49"/>
      <c r="T101" s="49"/>
      <c r="U101" s="49"/>
      <c r="V101" s="49"/>
      <c r="W101" s="49"/>
      <c r="X101" s="49"/>
    </row>
    <row r="102" spans="2:24" s="177" customFormat="1" ht="14.4" x14ac:dyDescent="0.3">
      <c r="B102" s="195"/>
      <c r="C102" s="400"/>
      <c r="D102" s="195"/>
      <c r="E102" s="195"/>
      <c r="F102" s="195"/>
      <c r="G102" s="195"/>
      <c r="H102" s="195"/>
      <c r="I102" s="195"/>
      <c r="J102" s="195"/>
      <c r="K102" s="195"/>
      <c r="L102" s="401"/>
      <c r="M102" s="195"/>
      <c r="N102" s="195"/>
      <c r="O102" s="195"/>
      <c r="P102" s="49"/>
      <c r="Q102" s="49"/>
      <c r="R102" s="49"/>
      <c r="S102" s="49"/>
      <c r="T102" s="49"/>
      <c r="U102" s="49"/>
      <c r="V102" s="49"/>
      <c r="W102" s="49"/>
      <c r="X102" s="49"/>
    </row>
    <row r="103" spans="2:24" s="177" customFormat="1" ht="15" thickBot="1" x14ac:dyDescent="0.35">
      <c r="B103" s="195"/>
      <c r="C103" s="400"/>
      <c r="D103" s="195"/>
      <c r="E103" s="195"/>
      <c r="F103" s="195"/>
      <c r="G103" s="195"/>
      <c r="H103" s="195"/>
      <c r="I103" s="195"/>
      <c r="J103" s="195"/>
      <c r="K103" s="195"/>
      <c r="L103" s="401"/>
      <c r="M103" s="195"/>
      <c r="N103" s="195"/>
      <c r="O103" s="195"/>
      <c r="P103" s="49"/>
      <c r="Q103" s="49"/>
      <c r="R103" s="49"/>
      <c r="S103" s="49"/>
      <c r="T103" s="49"/>
      <c r="U103" s="49"/>
      <c r="V103" s="49"/>
      <c r="W103" s="49"/>
      <c r="X103" s="49"/>
    </row>
    <row r="104" spans="2:24" s="177" customFormat="1" ht="28.8" x14ac:dyDescent="0.3">
      <c r="B104" s="195"/>
      <c r="C104" s="400"/>
      <c r="D104" s="195"/>
      <c r="E104" s="195"/>
      <c r="F104" s="195"/>
      <c r="G104" s="216" t="s">
        <v>222</v>
      </c>
      <c r="H104" s="216" t="s">
        <v>223</v>
      </c>
      <c r="I104" s="216" t="s">
        <v>224</v>
      </c>
      <c r="J104" s="195"/>
      <c r="K104" s="195"/>
      <c r="L104" s="401"/>
      <c r="M104" s="195"/>
      <c r="N104" s="195"/>
      <c r="O104" s="195"/>
      <c r="P104" s="49"/>
      <c r="Q104" s="49"/>
      <c r="R104" s="49"/>
      <c r="S104" s="49"/>
      <c r="T104" s="49"/>
      <c r="U104" s="49"/>
      <c r="V104" s="49"/>
      <c r="W104" s="49"/>
      <c r="X104" s="49"/>
    </row>
    <row r="105" spans="2:24" s="177" customFormat="1" ht="14.4" x14ac:dyDescent="0.3">
      <c r="B105" s="195"/>
      <c r="C105" s="400"/>
      <c r="D105" s="195"/>
      <c r="E105" s="217" t="s">
        <v>239</v>
      </c>
      <c r="F105" s="49"/>
      <c r="G105" s="218">
        <f>J119+K123</f>
        <v>1348</v>
      </c>
      <c r="H105" s="218">
        <f>G105*7</f>
        <v>9436</v>
      </c>
      <c r="I105" s="218">
        <f>H105*52/12</f>
        <v>40889.333333333336</v>
      </c>
      <c r="J105" s="195"/>
      <c r="K105" s="411"/>
      <c r="L105" s="401"/>
      <c r="M105" s="195"/>
      <c r="N105" s="195"/>
      <c r="O105" s="195"/>
      <c r="P105" s="49"/>
      <c r="Q105" s="49"/>
      <c r="R105" s="49"/>
      <c r="S105" s="49"/>
      <c r="T105" s="49"/>
      <c r="U105" s="49"/>
      <c r="V105" s="49"/>
      <c r="W105" s="49"/>
      <c r="X105" s="49"/>
    </row>
    <row r="106" spans="2:24" s="177" customFormat="1" ht="14.4" x14ac:dyDescent="0.3">
      <c r="B106" s="195"/>
      <c r="C106" s="400"/>
      <c r="D106" s="195"/>
      <c r="E106" s="219" t="s">
        <v>225</v>
      </c>
      <c r="F106" s="49"/>
      <c r="G106" s="220" t="str">
        <f>VLOOKUP(G105,FabricMapping!$C$11:$F$21,4,1)</f>
        <v>F2</v>
      </c>
      <c r="H106" s="220" t="str">
        <f>VLOOKUP(H105,FabricMapping!$D$11:$F$21,3,1)</f>
        <v>F2</v>
      </c>
      <c r="I106" s="220" t="str">
        <f>VLOOKUP(I105,FabricMapping!$E$11:$F$21,2,1)</f>
        <v>F2</v>
      </c>
      <c r="J106" s="195"/>
      <c r="K106" s="195"/>
      <c r="L106" s="401"/>
      <c r="M106" s="195"/>
      <c r="N106" s="195"/>
      <c r="O106" s="195"/>
      <c r="P106" s="49"/>
      <c r="Q106" s="49"/>
      <c r="R106" s="49"/>
      <c r="S106" s="49"/>
      <c r="T106" s="49"/>
      <c r="U106" s="49"/>
      <c r="V106" s="49"/>
      <c r="W106" s="49"/>
      <c r="X106" s="49"/>
    </row>
    <row r="107" spans="2:24" s="177" customFormat="1" ht="14.4" x14ac:dyDescent="0.3">
      <c r="B107" s="195"/>
      <c r="C107" s="400"/>
      <c r="D107" s="195"/>
      <c r="E107" s="219" t="s">
        <v>226</v>
      </c>
      <c r="F107" s="49"/>
      <c r="G107" s="218">
        <f>VLOOKUP(G106,FabricMapping!$F$10:$J$21,3,0)</f>
        <v>2880</v>
      </c>
      <c r="H107" s="218">
        <f>VLOOKUP(H106,FabricMapping!$F$10:$J$21,4,0)</f>
        <v>20160</v>
      </c>
      <c r="I107" s="218">
        <f>VLOOKUP(I106,FabricMapping!$F$10:$J$21,5,0)</f>
        <v>87360</v>
      </c>
      <c r="J107" s="195"/>
      <c r="K107" s="195"/>
      <c r="L107" s="401"/>
      <c r="M107" s="195"/>
      <c r="N107" s="195"/>
      <c r="O107" s="195"/>
      <c r="P107" s="49"/>
      <c r="Q107" s="49"/>
      <c r="R107" s="49"/>
      <c r="S107" s="49"/>
      <c r="T107" s="49"/>
      <c r="U107" s="49"/>
      <c r="V107" s="49"/>
      <c r="W107" s="49"/>
      <c r="X107" s="49"/>
    </row>
    <row r="108" spans="2:24" s="177" customFormat="1" ht="18" hidden="1" x14ac:dyDescent="0.35">
      <c r="B108" s="221"/>
      <c r="C108" s="400"/>
      <c r="D108" s="195"/>
      <c r="E108" s="219" t="s">
        <v>227</v>
      </c>
      <c r="F108" s="49"/>
      <c r="G108" s="222">
        <f>G107*Cost_Setup!$F$7/60</f>
        <v>8.6399999999999988</v>
      </c>
      <c r="H108" s="222">
        <f>H107*Cost_Setup!$F$7/60</f>
        <v>60.48</v>
      </c>
      <c r="I108" s="222">
        <f>I107*Cost_Setup!$F$7/60</f>
        <v>262.08</v>
      </c>
      <c r="J108" s="195"/>
      <c r="K108" s="195"/>
      <c r="L108" s="401"/>
      <c r="M108" s="195"/>
      <c r="N108" s="195"/>
      <c r="O108" s="195"/>
      <c r="P108" s="49"/>
      <c r="Q108" s="49"/>
      <c r="R108" s="49"/>
      <c r="S108" s="49"/>
      <c r="T108" s="49"/>
      <c r="U108" s="49"/>
      <c r="V108" s="49"/>
      <c r="W108" s="49"/>
      <c r="X108" s="49"/>
    </row>
    <row r="109" spans="2:24" s="177" customFormat="1" ht="14.4" x14ac:dyDescent="0.3">
      <c r="B109" s="195"/>
      <c r="C109" s="400"/>
      <c r="D109" s="195"/>
      <c r="E109" s="219" t="s">
        <v>228</v>
      </c>
      <c r="F109" s="49"/>
      <c r="G109" s="223">
        <f>G105/G107</f>
        <v>0.46805555555555556</v>
      </c>
      <c r="H109" s="223">
        <f t="shared" ref="H109:I109" si="4">H105/H107</f>
        <v>0.46805555555555556</v>
      </c>
      <c r="I109" s="223">
        <f t="shared" si="4"/>
        <v>0.46805555555555556</v>
      </c>
      <c r="J109" s="195"/>
      <c r="K109" s="195"/>
      <c r="L109" s="401"/>
      <c r="M109" s="195"/>
      <c r="N109" s="195"/>
      <c r="O109" s="195"/>
      <c r="P109" s="49"/>
      <c r="Q109" s="49"/>
      <c r="R109" s="49"/>
      <c r="S109" s="49"/>
      <c r="T109" s="49"/>
      <c r="U109" s="49"/>
      <c r="V109" s="49"/>
      <c r="W109" s="49"/>
      <c r="X109" s="49"/>
    </row>
    <row r="110" spans="2:24" s="177" customFormat="1" ht="14.4" x14ac:dyDescent="0.3">
      <c r="B110" s="195"/>
      <c r="C110" s="400"/>
      <c r="D110" s="195"/>
      <c r="E110" s="195"/>
      <c r="F110" s="49"/>
      <c r="G110" s="195"/>
      <c r="H110" s="49"/>
      <c r="I110" s="195"/>
      <c r="J110" s="195"/>
      <c r="K110" s="195"/>
      <c r="L110" s="401"/>
      <c r="M110" s="195"/>
      <c r="N110" s="195"/>
      <c r="O110" s="49"/>
      <c r="P110" s="49"/>
      <c r="Q110" s="49"/>
      <c r="R110" s="49"/>
      <c r="S110" s="49"/>
      <c r="T110" s="49"/>
      <c r="U110" s="49"/>
      <c r="V110" s="49"/>
      <c r="W110" s="49"/>
      <c r="X110" s="49"/>
    </row>
    <row r="111" spans="2:24" s="177" customFormat="1" ht="15" thickBot="1" x14ac:dyDescent="0.35">
      <c r="B111" s="195"/>
      <c r="C111" s="400"/>
      <c r="D111" s="195"/>
      <c r="E111" s="195"/>
      <c r="F111" s="195"/>
      <c r="G111" s="195"/>
      <c r="H111" s="195"/>
      <c r="I111" s="195"/>
      <c r="J111" s="195"/>
      <c r="K111" s="195"/>
      <c r="L111" s="401"/>
      <c r="M111" s="195"/>
      <c r="N111" s="195"/>
      <c r="O111" s="49"/>
      <c r="P111" s="49"/>
      <c r="Q111" s="49"/>
      <c r="R111" s="49"/>
      <c r="S111" s="49"/>
      <c r="T111" s="49"/>
      <c r="U111" s="49"/>
      <c r="V111" s="49"/>
      <c r="W111" s="49"/>
      <c r="X111" s="49"/>
    </row>
    <row r="112" spans="2:24" s="177" customFormat="1" ht="14.4" x14ac:dyDescent="0.3">
      <c r="B112" s="195"/>
      <c r="C112" s="400"/>
      <c r="D112" s="195"/>
      <c r="E112" s="561" t="s">
        <v>11</v>
      </c>
      <c r="F112" s="195"/>
      <c r="G112" s="563" t="s">
        <v>240</v>
      </c>
      <c r="H112" s="564"/>
      <c r="I112" s="564"/>
      <c r="J112" s="564"/>
      <c r="K112" s="565"/>
      <c r="L112" s="401"/>
      <c r="M112" s="195"/>
      <c r="N112" s="49"/>
      <c r="O112" s="49"/>
      <c r="P112" s="49"/>
      <c r="Q112" s="49"/>
      <c r="R112" s="49"/>
      <c r="S112" s="49"/>
      <c r="T112" s="49"/>
      <c r="U112" s="49"/>
      <c r="V112" s="49"/>
      <c r="W112" s="49"/>
      <c r="X112" s="49"/>
    </row>
    <row r="113" spans="2:24" s="177" customFormat="1" ht="14.4" x14ac:dyDescent="0.3">
      <c r="B113" s="195"/>
      <c r="C113" s="400"/>
      <c r="D113" s="195"/>
      <c r="E113" s="561"/>
      <c r="F113" s="195"/>
      <c r="G113" s="230" t="s">
        <v>55</v>
      </c>
      <c r="H113" s="231" t="s">
        <v>241</v>
      </c>
      <c r="I113" s="231" t="s">
        <v>242</v>
      </c>
      <c r="J113" s="231" t="s">
        <v>243</v>
      </c>
      <c r="K113" s="232" t="s">
        <v>244</v>
      </c>
      <c r="L113" s="401"/>
      <c r="M113" s="195"/>
      <c r="N113" s="49"/>
      <c r="O113" s="195"/>
      <c r="P113" s="49"/>
      <c r="Q113" s="49"/>
      <c r="R113" s="49"/>
      <c r="S113" s="49"/>
      <c r="T113" s="49"/>
      <c r="U113" s="49"/>
      <c r="V113" s="49"/>
      <c r="W113" s="49"/>
      <c r="X113" s="49"/>
    </row>
    <row r="114" spans="2:24" s="177" customFormat="1" ht="15" thickBot="1" x14ac:dyDescent="0.35">
      <c r="B114" s="195"/>
      <c r="C114" s="400"/>
      <c r="D114" s="195"/>
      <c r="E114" s="561"/>
      <c r="F114" s="195"/>
      <c r="G114" s="233" t="s">
        <v>56</v>
      </c>
      <c r="H114" s="226">
        <f>IFERROR(VLOOKUP($G$114,FabricMapping!$F$39:$J$43,4,FALSE),0)</f>
        <v>4</v>
      </c>
      <c r="I114" s="226">
        <f>IFERROR(VLOOKUP($G$114,FabricMapping!$F$39:$J$43,5,FALSE),0)</f>
        <v>60</v>
      </c>
      <c r="J114" s="226">
        <f>IFERROR((FabricMapping!$U$31*2)/$H$114,0)</f>
        <v>32</v>
      </c>
      <c r="K114" s="227">
        <f>J114*H114</f>
        <v>128</v>
      </c>
      <c r="L114" s="401"/>
      <c r="M114" s="195"/>
      <c r="N114" s="228"/>
      <c r="O114" s="195"/>
      <c r="P114" s="49"/>
      <c r="Q114" s="49"/>
      <c r="R114" s="49"/>
      <c r="S114" s="49"/>
      <c r="T114" s="49"/>
      <c r="U114" s="49"/>
      <c r="V114" s="49"/>
      <c r="W114" s="49"/>
      <c r="X114" s="49"/>
    </row>
    <row r="115" spans="2:24" s="177" customFormat="1" ht="14.4" x14ac:dyDescent="0.3">
      <c r="B115" s="195"/>
      <c r="C115" s="400"/>
      <c r="D115" s="195"/>
      <c r="E115" s="561"/>
      <c r="F115" s="195"/>
      <c r="G115" s="195"/>
      <c r="H115" s="195"/>
      <c r="I115" s="195"/>
      <c r="J115" s="195"/>
      <c r="K115" s="195"/>
      <c r="L115" s="401"/>
      <c r="M115" s="195"/>
      <c r="N115" s="49"/>
      <c r="O115" s="195"/>
      <c r="P115" s="49"/>
      <c r="Q115" s="49"/>
      <c r="R115" s="49"/>
      <c r="S115" s="49"/>
      <c r="T115" s="49"/>
      <c r="U115" s="49"/>
      <c r="V115" s="49"/>
      <c r="W115" s="49"/>
      <c r="X115" s="49"/>
    </row>
    <row r="116" spans="2:24" s="177" customFormat="1" ht="15" thickBot="1" x14ac:dyDescent="0.35">
      <c r="B116" s="195"/>
      <c r="C116" s="400"/>
      <c r="D116" s="195"/>
      <c r="E116" s="561"/>
      <c r="F116" s="195"/>
      <c r="G116" s="195"/>
      <c r="H116" s="195"/>
      <c r="I116" s="195"/>
      <c r="J116" s="195"/>
      <c r="K116" s="195"/>
      <c r="L116" s="401"/>
      <c r="M116" s="195"/>
      <c r="N116" s="195"/>
      <c r="O116" s="195"/>
      <c r="P116" s="49"/>
      <c r="Q116" s="49"/>
      <c r="R116" s="49"/>
      <c r="S116" s="49"/>
      <c r="T116" s="49"/>
      <c r="U116" s="49"/>
      <c r="V116" s="49"/>
      <c r="W116" s="49"/>
      <c r="X116" s="49"/>
    </row>
    <row r="117" spans="2:24" s="177" customFormat="1" ht="14.4" x14ac:dyDescent="0.3">
      <c r="B117" s="195"/>
      <c r="C117" s="400"/>
      <c r="D117" s="195"/>
      <c r="E117" s="561"/>
      <c r="F117" s="195"/>
      <c r="G117" s="563" t="str">
        <f>"Silver Zone - Data Engineering ("&amp;$G$114&amp;" Spark Cluster)"</f>
        <v>Silver Zone - Data Engineering (Medium (8 vCore, 64 Mem) Spark Cluster)</v>
      </c>
      <c r="H117" s="564"/>
      <c r="I117" s="564"/>
      <c r="J117" s="564"/>
      <c r="K117" s="565"/>
      <c r="L117" s="401"/>
      <c r="M117" s="195"/>
      <c r="N117" s="195"/>
      <c r="O117" s="195"/>
      <c r="P117" s="49"/>
      <c r="Q117" s="49"/>
      <c r="R117" s="49"/>
      <c r="S117" s="49"/>
      <c r="T117" s="49"/>
      <c r="U117" s="49"/>
      <c r="V117" s="49"/>
      <c r="W117" s="49"/>
      <c r="X117" s="49"/>
    </row>
    <row r="118" spans="2:24" s="177" customFormat="1" ht="18.75" customHeight="1" x14ac:dyDescent="0.3">
      <c r="B118" s="195"/>
      <c r="C118" s="400"/>
      <c r="D118" s="195"/>
      <c r="E118" s="561"/>
      <c r="F118" s="195"/>
      <c r="G118" s="234" t="s">
        <v>245</v>
      </c>
      <c r="H118" s="235" t="s">
        <v>246</v>
      </c>
      <c r="I118" s="235" t="s">
        <v>247</v>
      </c>
      <c r="J118" s="235" t="s">
        <v>248</v>
      </c>
      <c r="K118" s="236" t="s">
        <v>249</v>
      </c>
      <c r="L118" s="401"/>
      <c r="M118" s="195"/>
      <c r="N118" s="195"/>
      <c r="O118" s="195"/>
      <c r="P118" s="49"/>
      <c r="Q118" s="49"/>
      <c r="R118" s="49"/>
      <c r="S118" s="49"/>
      <c r="T118" s="49"/>
      <c r="U118" s="49"/>
      <c r="V118" s="49"/>
      <c r="W118" s="49"/>
      <c r="X118" s="49"/>
    </row>
    <row r="119" spans="2:24" s="177" customFormat="1" ht="15" thickBot="1" x14ac:dyDescent="0.35">
      <c r="B119" s="195"/>
      <c r="C119" s="400"/>
      <c r="D119" s="195"/>
      <c r="E119" s="561"/>
      <c r="F119" s="195"/>
      <c r="G119" s="237">
        <f>$G$6</f>
        <v>200</v>
      </c>
      <c r="H119" s="226">
        <f>IFERROR(IF(OR(RIGHT(G8)="%",ISNUMBER(G8)),ROUNDUP(($H$46*$G$8/$G$119)/$I$114,0)+1,ROUNDUP((_xlfn.NUMBERVALUE(LEFT($G$8,LEN(G8)-2))/$G$119)/$I$114,0)+1),0)</f>
        <v>2</v>
      </c>
      <c r="I119" s="238">
        <v>50</v>
      </c>
      <c r="J119" s="239">
        <f>ROUNDUP(((H119*$H$114))*(I119/60)*G119,0)*$G$5</f>
        <v>1334</v>
      </c>
      <c r="K119" s="227">
        <f>IFERROR(ROUNDUP(((G119*I119)/60)/ABS(($J$114/H119)-4),0)*$G$5,1)</f>
        <v>14</v>
      </c>
      <c r="L119" s="401"/>
      <c r="M119" s="195"/>
      <c r="N119" s="228"/>
      <c r="O119" s="195"/>
      <c r="P119" s="49"/>
      <c r="Q119" s="49"/>
      <c r="R119" s="49"/>
      <c r="S119" s="49"/>
      <c r="T119" s="49"/>
      <c r="U119" s="49"/>
      <c r="V119" s="49"/>
      <c r="W119" s="49"/>
      <c r="X119" s="49"/>
    </row>
    <row r="120" spans="2:24" s="177" customFormat="1" ht="15.6" x14ac:dyDescent="0.3">
      <c r="B120" s="195"/>
      <c r="C120" s="400"/>
      <c r="D120" s="195"/>
      <c r="E120" s="561"/>
      <c r="F120" s="195"/>
      <c r="G120" s="240" t="s">
        <v>250</v>
      </c>
      <c r="H120" s="195"/>
      <c r="I120" s="195"/>
      <c r="J120" s="195"/>
      <c r="K120" s="195"/>
      <c r="L120" s="401"/>
      <c r="M120" s="195"/>
      <c r="N120" s="49"/>
      <c r="O120" s="195"/>
      <c r="P120" s="49"/>
      <c r="Q120" s="49"/>
      <c r="R120" s="49"/>
      <c r="S120" s="49"/>
      <c r="T120" s="49"/>
      <c r="U120" s="49"/>
      <c r="V120" s="49"/>
      <c r="W120" s="49"/>
      <c r="X120" s="49"/>
    </row>
    <row r="121" spans="2:24" s="177" customFormat="1" ht="15.6" x14ac:dyDescent="0.3">
      <c r="B121" s="195"/>
      <c r="C121" s="400"/>
      <c r="D121" s="195"/>
      <c r="E121" s="561"/>
      <c r="F121" s="195"/>
      <c r="G121" s="240"/>
      <c r="H121" s="195"/>
      <c r="I121" s="195"/>
      <c r="J121" s="195"/>
      <c r="K121" s="195"/>
      <c r="L121" s="401"/>
      <c r="M121" s="195"/>
      <c r="N121" s="49"/>
      <c r="O121" s="195"/>
      <c r="P121" s="49"/>
      <c r="Q121" s="49"/>
      <c r="R121" s="49"/>
      <c r="S121" s="49"/>
      <c r="T121" s="49"/>
      <c r="U121" s="49"/>
      <c r="V121" s="49"/>
      <c r="W121" s="49"/>
      <c r="X121" s="49"/>
    </row>
    <row r="122" spans="2:24" s="177" customFormat="1" ht="14.4" x14ac:dyDescent="0.3">
      <c r="B122" s="195"/>
      <c r="C122" s="400"/>
      <c r="D122" s="195"/>
      <c r="E122" s="561"/>
      <c r="F122" s="195"/>
      <c r="G122" s="481" t="s">
        <v>205</v>
      </c>
      <c r="H122" s="482" t="s">
        <v>236</v>
      </c>
      <c r="I122" s="482" t="s">
        <v>237</v>
      </c>
      <c r="J122" s="482" t="s">
        <v>238</v>
      </c>
      <c r="K122" s="483" t="s">
        <v>209</v>
      </c>
      <c r="L122" s="401"/>
      <c r="M122" s="195"/>
      <c r="N122" s="49"/>
      <c r="O122" s="195"/>
      <c r="P122" s="49"/>
      <c r="Q122" s="49"/>
      <c r="R122" s="49"/>
      <c r="S122" s="49"/>
      <c r="T122" s="49"/>
      <c r="U122" s="49"/>
      <c r="V122" s="49"/>
      <c r="W122" s="49"/>
      <c r="X122" s="49"/>
    </row>
    <row r="123" spans="2:24" s="177" customFormat="1" ht="14.4" x14ac:dyDescent="0.3">
      <c r="B123" s="195"/>
      <c r="C123" s="400"/>
      <c r="D123" s="195"/>
      <c r="E123" s="561"/>
      <c r="F123" s="195"/>
      <c r="G123" s="484">
        <f>ROUNDUP((((((LEFT($G$8,LEN($G$8)-2)*1024)/$G$6))/4)*$G$6*$G$5)*FabricMapping!$AR$61,0)</f>
        <v>1</v>
      </c>
      <c r="H123" s="485">
        <f>ROUNDUP((((((LEFT($G$8,LEN($G$8)-2)*1024)/$G$6))/4)*$G$6*$G$5)*FabricMapping!$AR$62,0)</f>
        <v>7</v>
      </c>
      <c r="I123" s="485">
        <f>ROUNDUP(($G$6*$G$5)*FabricMapping!$AR$63,0)</f>
        <v>1</v>
      </c>
      <c r="J123" s="485">
        <f>ROUNDUP(($G$6*$G$5)*FabricMapping!$AR$64,0)</f>
        <v>5</v>
      </c>
      <c r="K123" s="486">
        <f>SUM(G123:J123)</f>
        <v>14</v>
      </c>
      <c r="L123" s="401"/>
      <c r="M123" s="195"/>
      <c r="N123" s="49"/>
      <c r="O123" s="195"/>
      <c r="P123" s="49"/>
      <c r="Q123" s="49"/>
      <c r="R123" s="49"/>
      <c r="S123" s="49"/>
      <c r="T123" s="49"/>
      <c r="U123" s="49"/>
      <c r="V123" s="49"/>
      <c r="W123" s="49"/>
      <c r="X123" s="49"/>
    </row>
    <row r="124" spans="2:24" s="177" customFormat="1" ht="14.4" x14ac:dyDescent="0.3">
      <c r="B124" s="195"/>
      <c r="C124" s="400"/>
      <c r="D124" s="195"/>
      <c r="E124" s="195"/>
      <c r="F124" s="195"/>
      <c r="G124" s="195"/>
      <c r="H124" s="195"/>
      <c r="I124" s="195"/>
      <c r="J124" s="195"/>
      <c r="K124" s="195"/>
      <c r="L124" s="401"/>
      <c r="M124" s="195"/>
      <c r="N124" s="195"/>
      <c r="O124" s="195"/>
      <c r="P124" s="49"/>
      <c r="Q124" s="49"/>
      <c r="R124" s="49"/>
      <c r="S124" s="49"/>
      <c r="T124" s="49"/>
      <c r="U124" s="49"/>
      <c r="V124" s="49"/>
      <c r="W124" s="49"/>
      <c r="X124" s="49"/>
    </row>
    <row r="125" spans="2:24" s="177" customFormat="1" ht="15" thickBot="1" x14ac:dyDescent="0.35">
      <c r="B125" s="195"/>
      <c r="C125" s="409"/>
      <c r="D125" s="408"/>
      <c r="E125" s="408"/>
      <c r="F125" s="408"/>
      <c r="G125" s="408"/>
      <c r="H125" s="408"/>
      <c r="I125" s="408"/>
      <c r="J125" s="408"/>
      <c r="K125" s="408"/>
      <c r="L125" s="410"/>
      <c r="M125" s="195"/>
      <c r="N125" s="195"/>
      <c r="O125" s="195"/>
      <c r="P125" s="49"/>
      <c r="Q125" s="49"/>
      <c r="R125" s="49"/>
      <c r="S125" s="49"/>
      <c r="T125" s="49"/>
      <c r="U125" s="49"/>
      <c r="V125" s="49"/>
      <c r="W125" s="49"/>
      <c r="X125" s="49"/>
    </row>
    <row r="126" spans="2:24" s="177" customFormat="1" ht="14.4" x14ac:dyDescent="0.3">
      <c r="B126" s="195"/>
      <c r="C126" s="195"/>
      <c r="D126" s="195"/>
      <c r="E126" s="195"/>
      <c r="F126" s="195"/>
      <c r="G126" s="195"/>
      <c r="H126" s="195"/>
      <c r="I126" s="195"/>
      <c r="J126" s="195"/>
      <c r="K126" s="195"/>
      <c r="L126" s="195"/>
      <c r="M126" s="195"/>
      <c r="N126" s="195"/>
      <c r="O126" s="195"/>
      <c r="P126" s="49"/>
      <c r="Q126" s="49"/>
      <c r="R126" s="49"/>
      <c r="S126" s="49"/>
      <c r="T126" s="49"/>
      <c r="U126" s="49"/>
      <c r="V126" s="49"/>
      <c r="W126" s="49"/>
      <c r="X126" s="49"/>
    </row>
    <row r="127" spans="2:24" s="177" customFormat="1" ht="14.4" x14ac:dyDescent="0.3">
      <c r="B127" s="49"/>
      <c r="C127" s="49"/>
      <c r="D127" s="49"/>
      <c r="E127" s="49"/>
      <c r="F127" s="49"/>
      <c r="G127" s="49"/>
      <c r="H127" s="49"/>
      <c r="I127" s="49"/>
      <c r="J127" s="49"/>
      <c r="K127" s="49"/>
      <c r="L127" s="49"/>
      <c r="M127" s="49"/>
      <c r="N127" s="49"/>
      <c r="O127" s="195"/>
      <c r="P127" s="49"/>
      <c r="Q127" s="49"/>
      <c r="R127" s="49"/>
      <c r="S127" s="49"/>
      <c r="T127" s="49"/>
      <c r="U127" s="49"/>
      <c r="V127" s="49"/>
      <c r="W127" s="49"/>
      <c r="X127" s="49"/>
    </row>
    <row r="128" spans="2:24" s="177" customFormat="1" ht="14.4" x14ac:dyDescent="0.3">
      <c r="B128" s="49"/>
      <c r="C128" s="49"/>
      <c r="D128" s="49"/>
      <c r="E128" s="49"/>
      <c r="F128" s="49"/>
      <c r="G128" s="49"/>
      <c r="H128" s="49"/>
      <c r="I128" s="49"/>
      <c r="J128" s="49"/>
      <c r="K128" s="49"/>
      <c r="L128" s="49"/>
      <c r="M128" s="49"/>
      <c r="N128" s="49"/>
      <c r="O128" s="195"/>
      <c r="P128" s="49"/>
      <c r="Q128" s="49"/>
      <c r="R128" s="49"/>
      <c r="S128" s="49"/>
      <c r="T128" s="49"/>
      <c r="U128" s="49"/>
      <c r="V128" s="49"/>
      <c r="W128" s="49"/>
      <c r="X128" s="49"/>
    </row>
    <row r="129" spans="2:24" s="177" customFormat="1" ht="15" thickBot="1" x14ac:dyDescent="0.35">
      <c r="B129" s="49"/>
      <c r="C129" s="49"/>
      <c r="D129" s="49"/>
      <c r="E129" s="49"/>
      <c r="F129" s="49"/>
      <c r="G129" s="49"/>
      <c r="H129" s="49"/>
      <c r="I129" s="49"/>
      <c r="J129" s="49"/>
      <c r="K129" s="49"/>
      <c r="L129" s="49"/>
      <c r="M129" s="49"/>
      <c r="N129" s="49"/>
      <c r="O129" s="195"/>
      <c r="P129" s="49"/>
      <c r="Q129" s="49"/>
      <c r="R129" s="49"/>
      <c r="S129" s="49"/>
      <c r="T129" s="49"/>
      <c r="U129" s="49"/>
      <c r="V129" s="49"/>
      <c r="W129" s="49"/>
      <c r="X129" s="49"/>
    </row>
    <row r="130" spans="2:24" s="177" customFormat="1" ht="23.4" x14ac:dyDescent="0.45">
      <c r="B130" s="195"/>
      <c r="C130" s="188" t="s">
        <v>251</v>
      </c>
      <c r="D130" s="398"/>
      <c r="E130" s="398"/>
      <c r="F130" s="398"/>
      <c r="G130" s="398"/>
      <c r="H130" s="398"/>
      <c r="I130" s="398"/>
      <c r="J130" s="398"/>
      <c r="K130" s="398"/>
      <c r="L130" s="399"/>
      <c r="M130" s="195"/>
      <c r="N130" s="195"/>
      <c r="O130" s="195"/>
      <c r="P130" s="49"/>
      <c r="Q130" s="49"/>
      <c r="R130" s="49"/>
      <c r="S130" s="49"/>
      <c r="T130" s="49"/>
      <c r="U130" s="49"/>
      <c r="V130" s="49"/>
      <c r="W130" s="49"/>
      <c r="X130" s="49"/>
    </row>
    <row r="131" spans="2:24" s="177" customFormat="1" ht="14.4" x14ac:dyDescent="0.3">
      <c r="B131" s="195"/>
      <c r="C131" s="400"/>
      <c r="D131" s="195"/>
      <c r="E131" s="195"/>
      <c r="F131" s="195"/>
      <c r="G131" s="195"/>
      <c r="H131" s="195"/>
      <c r="I131" s="195"/>
      <c r="J131" s="195"/>
      <c r="K131" s="195"/>
      <c r="L131" s="401"/>
      <c r="M131" s="195"/>
      <c r="N131" s="195"/>
      <c r="O131" s="195"/>
      <c r="P131" s="49"/>
      <c r="Q131" s="49"/>
      <c r="R131" s="49"/>
      <c r="S131" s="49"/>
      <c r="T131" s="49"/>
      <c r="U131" s="49"/>
      <c r="V131" s="49"/>
      <c r="W131" s="49"/>
      <c r="X131" s="49"/>
    </row>
    <row r="132" spans="2:24" s="177" customFormat="1" ht="15" thickBot="1" x14ac:dyDescent="0.35">
      <c r="B132" s="195"/>
      <c r="C132" s="400"/>
      <c r="D132" s="195"/>
      <c r="E132" s="195"/>
      <c r="F132" s="195"/>
      <c r="G132" s="195"/>
      <c r="H132" s="195"/>
      <c r="I132" s="195"/>
      <c r="J132" s="195"/>
      <c r="K132" s="195"/>
      <c r="L132" s="401"/>
      <c r="M132" s="195"/>
      <c r="N132" s="195"/>
      <c r="O132" s="195"/>
      <c r="P132" s="49"/>
      <c r="Q132" s="49"/>
      <c r="R132" s="49"/>
      <c r="S132" s="49"/>
      <c r="T132" s="49"/>
      <c r="U132" s="49"/>
      <c r="V132" s="49"/>
      <c r="W132" s="49"/>
      <c r="X132" s="49"/>
    </row>
    <row r="133" spans="2:24" s="177" customFormat="1" ht="28.8" x14ac:dyDescent="0.3">
      <c r="B133" s="195"/>
      <c r="C133" s="400"/>
      <c r="D133" s="195"/>
      <c r="E133" s="195"/>
      <c r="F133" s="195"/>
      <c r="G133" s="216" t="s">
        <v>222</v>
      </c>
      <c r="H133" s="216" t="s">
        <v>223</v>
      </c>
      <c r="I133" s="216" t="s">
        <v>224</v>
      </c>
      <c r="J133" s="195"/>
      <c r="K133" s="195"/>
      <c r="L133" s="401"/>
      <c r="M133" s="195"/>
      <c r="N133" s="195"/>
      <c r="O133" s="195"/>
      <c r="P133" s="49"/>
      <c r="Q133" s="49"/>
      <c r="R133" s="49"/>
      <c r="S133" s="49"/>
      <c r="T133" s="49"/>
      <c r="U133" s="49"/>
      <c r="V133" s="49"/>
      <c r="W133" s="49"/>
      <c r="X133" s="49"/>
    </row>
    <row r="134" spans="2:24" s="177" customFormat="1" ht="14.4" x14ac:dyDescent="0.3">
      <c r="B134" s="195"/>
      <c r="C134" s="400"/>
      <c r="D134" s="195"/>
      <c r="E134" s="217" t="s">
        <v>251</v>
      </c>
      <c r="F134" s="49"/>
      <c r="G134" s="218">
        <f>J146+K153</f>
        <v>288</v>
      </c>
      <c r="H134" s="218">
        <f>G134*7</f>
        <v>2016</v>
      </c>
      <c r="I134" s="218">
        <f>H134*52/12</f>
        <v>8736</v>
      </c>
      <c r="J134" s="195"/>
      <c r="K134" s="195"/>
      <c r="L134" s="401"/>
      <c r="M134" s="195"/>
      <c r="N134" s="195"/>
      <c r="O134" s="195"/>
      <c r="P134" s="49"/>
      <c r="Q134" s="49"/>
      <c r="R134" s="49"/>
      <c r="S134" s="49"/>
      <c r="T134" s="49"/>
      <c r="U134" s="49"/>
      <c r="V134" s="49"/>
      <c r="W134" s="49"/>
      <c r="X134" s="49"/>
    </row>
    <row r="135" spans="2:24" s="177" customFormat="1" ht="14.4" x14ac:dyDescent="0.3">
      <c r="B135" s="195"/>
      <c r="C135" s="400"/>
      <c r="D135" s="195"/>
      <c r="E135" s="219" t="s">
        <v>225</v>
      </c>
      <c r="F135" s="49"/>
      <c r="G135" s="220" t="str">
        <f>VLOOKUP(G134,FabricMapping!$C$11:$F$21,4,1)</f>
        <v>F2</v>
      </c>
      <c r="H135" s="220" t="str">
        <f>VLOOKUP(H134,FabricMapping!$D$11:$F$21,3,1)</f>
        <v>F2</v>
      </c>
      <c r="I135" s="220" t="str">
        <f>VLOOKUP(I134,FabricMapping!$E$11:$F$21,2,1)</f>
        <v>F2</v>
      </c>
      <c r="J135" s="195"/>
      <c r="K135" s="195"/>
      <c r="L135" s="401"/>
      <c r="M135" s="195"/>
      <c r="N135" s="195"/>
      <c r="O135" s="195"/>
      <c r="P135" s="49"/>
      <c r="Q135" s="49"/>
      <c r="R135" s="49"/>
      <c r="S135" s="49"/>
      <c r="T135" s="49"/>
      <c r="U135" s="49"/>
      <c r="V135" s="49"/>
      <c r="W135" s="49"/>
      <c r="X135" s="49"/>
    </row>
    <row r="136" spans="2:24" s="177" customFormat="1" ht="14.4" x14ac:dyDescent="0.3">
      <c r="B136" s="195"/>
      <c r="C136" s="400"/>
      <c r="D136" s="195"/>
      <c r="E136" s="219" t="s">
        <v>226</v>
      </c>
      <c r="F136" s="49"/>
      <c r="G136" s="218">
        <f>VLOOKUP(G135,FabricMapping!$F$10:$J$21,3,0)</f>
        <v>2880</v>
      </c>
      <c r="H136" s="218">
        <f>VLOOKUP(H135,FabricMapping!$F$10:$J$21,4,0)</f>
        <v>20160</v>
      </c>
      <c r="I136" s="218">
        <f>VLOOKUP(I135,FabricMapping!$F$10:$J$21,5,0)</f>
        <v>87360</v>
      </c>
      <c r="J136" s="195"/>
      <c r="K136" s="195"/>
      <c r="L136" s="401"/>
      <c r="M136" s="195"/>
      <c r="N136" s="195"/>
      <c r="O136" s="195"/>
      <c r="P136" s="49"/>
      <c r="Q136" s="49"/>
      <c r="R136" s="49"/>
      <c r="S136" s="49"/>
      <c r="T136" s="49"/>
      <c r="U136" s="49"/>
      <c r="V136" s="49"/>
      <c r="W136" s="49"/>
      <c r="X136" s="49"/>
    </row>
    <row r="137" spans="2:24" s="177" customFormat="1" ht="18" hidden="1" x14ac:dyDescent="0.35">
      <c r="B137" s="221"/>
      <c r="C137" s="400"/>
      <c r="D137" s="195"/>
      <c r="E137" s="219" t="s">
        <v>227</v>
      </c>
      <c r="F137" s="49"/>
      <c r="G137" s="222">
        <f>G136*Cost_Setup!$F$7/60</f>
        <v>8.6399999999999988</v>
      </c>
      <c r="H137" s="222">
        <f>H136*Cost_Setup!$F$7/60</f>
        <v>60.48</v>
      </c>
      <c r="I137" s="222">
        <f>I136*Cost_Setup!$F$7/60</f>
        <v>262.08</v>
      </c>
      <c r="J137" s="195"/>
      <c r="K137" s="195"/>
      <c r="L137" s="401"/>
      <c r="M137" s="195"/>
      <c r="N137" s="195"/>
      <c r="O137" s="195"/>
      <c r="P137" s="49"/>
      <c r="Q137" s="49"/>
      <c r="R137" s="49"/>
      <c r="S137" s="49"/>
      <c r="T137" s="49"/>
      <c r="U137" s="49"/>
      <c r="V137" s="49"/>
      <c r="W137" s="49"/>
      <c r="X137" s="49"/>
    </row>
    <row r="138" spans="2:24" s="177" customFormat="1" ht="14.4" x14ac:dyDescent="0.3">
      <c r="B138" s="195"/>
      <c r="C138" s="400"/>
      <c r="D138" s="195"/>
      <c r="E138" s="219" t="s">
        <v>228</v>
      </c>
      <c r="F138" s="49"/>
      <c r="G138" s="223">
        <f>G134/G136</f>
        <v>0.1</v>
      </c>
      <c r="H138" s="223">
        <f t="shared" ref="H138:I138" si="5">H134/H136</f>
        <v>0.1</v>
      </c>
      <c r="I138" s="223">
        <f t="shared" si="5"/>
        <v>0.1</v>
      </c>
      <c r="J138" s="195"/>
      <c r="K138" s="195"/>
      <c r="L138" s="401"/>
      <c r="M138" s="195"/>
      <c r="N138" s="195"/>
      <c r="O138" s="195"/>
      <c r="P138" s="49"/>
      <c r="Q138" s="49"/>
      <c r="R138" s="49"/>
      <c r="S138" s="49"/>
      <c r="T138" s="49"/>
      <c r="U138" s="49"/>
      <c r="V138" s="49"/>
      <c r="W138" s="49"/>
      <c r="X138" s="49"/>
    </row>
    <row r="139" spans="2:24" s="177" customFormat="1" ht="14.4" x14ac:dyDescent="0.3">
      <c r="B139" s="195"/>
      <c r="C139" s="400"/>
      <c r="D139" s="195"/>
      <c r="E139" s="195"/>
      <c r="F139" s="195"/>
      <c r="G139" s="195"/>
      <c r="H139" s="195"/>
      <c r="I139" s="195"/>
      <c r="J139" s="195"/>
      <c r="K139" s="195"/>
      <c r="L139" s="401"/>
      <c r="M139" s="195"/>
      <c r="N139" s="195"/>
      <c r="O139" s="195"/>
      <c r="P139" s="49"/>
      <c r="Q139" s="49"/>
      <c r="R139" s="49"/>
      <c r="S139" s="49"/>
      <c r="T139" s="49"/>
      <c r="U139" s="49"/>
      <c r="V139" s="49"/>
      <c r="W139" s="49"/>
      <c r="X139" s="49"/>
    </row>
    <row r="140" spans="2:24" s="177" customFormat="1" ht="14.4" x14ac:dyDescent="0.3">
      <c r="B140" s="195"/>
      <c r="C140" s="400"/>
      <c r="D140" s="195"/>
      <c r="E140" s="195"/>
      <c r="F140" s="195"/>
      <c r="G140" s="195"/>
      <c r="H140" s="195"/>
      <c r="I140" s="195"/>
      <c r="J140" s="195"/>
      <c r="K140" s="195"/>
      <c r="L140" s="401"/>
      <c r="M140" s="195"/>
      <c r="N140" s="195"/>
      <c r="O140" s="195"/>
      <c r="P140" s="49"/>
      <c r="Q140" s="49"/>
      <c r="R140" s="49"/>
      <c r="S140" s="49"/>
      <c r="T140" s="49"/>
      <c r="U140" s="49"/>
      <c r="V140" s="49"/>
      <c r="W140" s="49"/>
      <c r="X140" s="49"/>
    </row>
    <row r="141" spans="2:24" s="177" customFormat="1" ht="15" thickBot="1" x14ac:dyDescent="0.35">
      <c r="B141" s="195"/>
      <c r="C141" s="400"/>
      <c r="D141" s="195"/>
      <c r="E141" s="195"/>
      <c r="F141" s="195"/>
      <c r="G141" s="195"/>
      <c r="H141" s="195"/>
      <c r="I141" s="195"/>
      <c r="J141" s="195"/>
      <c r="K141" s="195"/>
      <c r="L141" s="401"/>
      <c r="M141" s="195"/>
      <c r="N141" s="195"/>
      <c r="O141" s="195"/>
      <c r="P141" s="49"/>
      <c r="Q141" s="49"/>
      <c r="R141" s="49"/>
      <c r="S141" s="49"/>
      <c r="T141" s="49"/>
      <c r="U141" s="49"/>
      <c r="V141" s="49"/>
      <c r="W141" s="49"/>
      <c r="X141" s="49"/>
    </row>
    <row r="142" spans="2:24" s="177" customFormat="1" ht="15" thickBot="1" x14ac:dyDescent="0.35">
      <c r="B142" s="195"/>
      <c r="C142" s="400"/>
      <c r="D142" s="195"/>
      <c r="E142" s="562" t="s">
        <v>252</v>
      </c>
      <c r="F142" s="195"/>
      <c r="G142" s="590" t="s">
        <v>253</v>
      </c>
      <c r="H142" s="591"/>
      <c r="I142" s="591"/>
      <c r="J142" s="591"/>
      <c r="K142" s="592"/>
      <c r="L142" s="401"/>
      <c r="M142" s="195"/>
      <c r="N142" s="195"/>
      <c r="O142" s="195"/>
      <c r="P142" s="49"/>
      <c r="Q142" s="49"/>
      <c r="R142" s="49"/>
      <c r="S142" s="49"/>
      <c r="T142" s="49"/>
      <c r="U142" s="49"/>
      <c r="V142" s="49"/>
      <c r="W142" s="49"/>
      <c r="X142" s="49"/>
    </row>
    <row r="143" spans="2:24" s="177" customFormat="1" ht="15" thickBot="1" x14ac:dyDescent="0.35">
      <c r="B143" s="195"/>
      <c r="C143" s="400"/>
      <c r="D143" s="195"/>
      <c r="E143" s="562"/>
      <c r="F143" s="195"/>
      <c r="G143" s="241" t="s">
        <v>254</v>
      </c>
      <c r="H143" s="242">
        <f>MAX(12,ROUNDUP($G$6/8,0))</f>
        <v>25</v>
      </c>
      <c r="I143" s="243"/>
      <c r="J143" s="243"/>
      <c r="K143" s="244"/>
      <c r="L143" s="401"/>
      <c r="M143" s="195"/>
      <c r="N143" s="228"/>
      <c r="O143" s="195"/>
      <c r="P143" s="49"/>
      <c r="Q143" s="49"/>
      <c r="R143" s="49"/>
      <c r="S143" s="49"/>
      <c r="T143" s="49"/>
      <c r="U143" s="49"/>
      <c r="V143" s="49"/>
      <c r="W143" s="49"/>
      <c r="X143" s="49"/>
    </row>
    <row r="144" spans="2:24" s="177" customFormat="1" ht="18.75" customHeight="1" x14ac:dyDescent="0.3">
      <c r="B144" s="195"/>
      <c r="C144" s="400"/>
      <c r="D144" s="195"/>
      <c r="E144" s="562"/>
      <c r="F144" s="195"/>
      <c r="G144" s="563" t="s">
        <v>255</v>
      </c>
      <c r="H144" s="564"/>
      <c r="I144" s="564"/>
      <c r="J144" s="564"/>
      <c r="K144" s="565"/>
      <c r="L144" s="401"/>
      <c r="M144" s="412"/>
      <c r="N144" s="195"/>
      <c r="O144" s="195"/>
      <c r="P144" s="49"/>
      <c r="Q144" s="49"/>
      <c r="R144" s="49"/>
      <c r="S144" s="49"/>
      <c r="T144" s="49"/>
      <c r="U144" s="49"/>
      <c r="V144" s="49"/>
      <c r="W144" s="49"/>
      <c r="X144" s="49"/>
    </row>
    <row r="145" spans="2:24" s="177" customFormat="1" ht="14.4" x14ac:dyDescent="0.3">
      <c r="B145" s="195"/>
      <c r="C145" s="400"/>
      <c r="D145" s="195"/>
      <c r="E145" s="562"/>
      <c r="F145" s="195"/>
      <c r="G145" s="413" t="s">
        <v>256</v>
      </c>
      <c r="H145" s="414" t="s">
        <v>257</v>
      </c>
      <c r="I145" s="414" t="s">
        <v>258</v>
      </c>
      <c r="J145" s="585" t="s">
        <v>248</v>
      </c>
      <c r="K145" s="586"/>
      <c r="L145" s="401"/>
      <c r="M145" s="412"/>
      <c r="N145" s="195"/>
      <c r="O145" s="195"/>
      <c r="P145" s="49"/>
      <c r="Q145" s="49"/>
      <c r="R145" s="49"/>
      <c r="S145" s="49"/>
      <c r="T145" s="49"/>
      <c r="U145" s="49"/>
      <c r="V145" s="49"/>
      <c r="W145" s="49"/>
      <c r="X145" s="49"/>
    </row>
    <row r="146" spans="2:24" s="177" customFormat="1" ht="15" thickBot="1" x14ac:dyDescent="0.35">
      <c r="B146" s="195"/>
      <c r="C146" s="400"/>
      <c r="D146" s="195"/>
      <c r="E146" s="562"/>
      <c r="F146" s="195"/>
      <c r="G146" s="415">
        <f>$G$5</f>
        <v>1</v>
      </c>
      <c r="H146" s="416">
        <f>K44</f>
        <v>0.1</v>
      </c>
      <c r="I146" s="406">
        <f>(K46/1000)*2.5</f>
        <v>0.44999999999999996</v>
      </c>
      <c r="J146" s="581">
        <f>G146*(SUM(J148:K150))*FabricMapping!$F$74</f>
        <v>278</v>
      </c>
      <c r="K146" s="582"/>
      <c r="L146" s="401"/>
      <c r="M146" s="412"/>
      <c r="N146" s="228"/>
      <c r="O146" s="195"/>
      <c r="P146" s="49"/>
      <c r="Q146" s="49"/>
      <c r="R146" s="49"/>
      <c r="S146" s="49"/>
      <c r="T146" s="49"/>
      <c r="U146" s="49"/>
      <c r="V146" s="49"/>
      <c r="W146" s="49"/>
      <c r="X146" s="49"/>
    </row>
    <row r="147" spans="2:24" s="177" customFormat="1" ht="14.4" x14ac:dyDescent="0.3">
      <c r="B147" s="195"/>
      <c r="C147" s="400"/>
      <c r="D147" s="195"/>
      <c r="E147" s="562"/>
      <c r="F147" s="195"/>
      <c r="G147" s="413" t="s">
        <v>259</v>
      </c>
      <c r="H147" s="417" t="s">
        <v>260</v>
      </c>
      <c r="I147" s="414" t="s">
        <v>261</v>
      </c>
      <c r="J147" s="593" t="s">
        <v>248</v>
      </c>
      <c r="K147" s="594"/>
      <c r="L147" s="401"/>
      <c r="M147" s="412"/>
      <c r="N147" s="195"/>
      <c r="O147" s="195"/>
      <c r="P147" s="49"/>
      <c r="Q147" s="49"/>
      <c r="R147" s="49"/>
      <c r="S147" s="49"/>
      <c r="T147" s="49"/>
      <c r="U147" s="49"/>
      <c r="V147" s="49"/>
      <c r="W147" s="49"/>
      <c r="X147" s="49"/>
    </row>
    <row r="148" spans="2:24" s="177" customFormat="1" ht="14.4" x14ac:dyDescent="0.3">
      <c r="B148" s="195"/>
      <c r="C148" s="400"/>
      <c r="D148" s="195"/>
      <c r="E148" s="562"/>
      <c r="F148" s="195"/>
      <c r="G148" s="418" t="s">
        <v>262</v>
      </c>
      <c r="H148" s="419">
        <f>ROUNDUP(VLOOKUP($G148,FabricMapping!$F$28:$I$31,3,FALSE)*ROUNDUP($H$143,0),0)+IF(UserInputs!$D$4="Data Lakehouse",0,$G$6)</f>
        <v>22</v>
      </c>
      <c r="I148" s="420">
        <f>($I$146/H148)</f>
        <v>2.0454545454545451E-2</v>
      </c>
      <c r="J148" s="595">
        <f>ROUNDUP(H148*I148*VLOOKUP(G148,FabricMapping!$F$28:$N$31,6,FALSE)*FabricMapping!$AN$34,0)</f>
        <v>15</v>
      </c>
      <c r="K148" s="596"/>
      <c r="L148" s="401"/>
      <c r="M148" s="412"/>
      <c r="N148" s="228"/>
      <c r="O148" s="195"/>
      <c r="P148" s="49"/>
      <c r="Q148" s="49"/>
      <c r="R148" s="49"/>
      <c r="S148" s="49"/>
      <c r="T148" s="49"/>
      <c r="U148" s="49"/>
      <c r="V148" s="49"/>
      <c r="W148" s="49"/>
      <c r="X148" s="49"/>
    </row>
    <row r="149" spans="2:24" s="177" customFormat="1" ht="14.4" x14ac:dyDescent="0.3">
      <c r="B149" s="195"/>
      <c r="C149" s="400"/>
      <c r="D149" s="195"/>
      <c r="E149" s="562"/>
      <c r="F149" s="195"/>
      <c r="G149" s="418" t="s">
        <v>263</v>
      </c>
      <c r="H149" s="419">
        <f>ROUNDUP(VLOOKUP($G149,FabricMapping!$F$28:$I$31,3,FALSE)*ROUNDUP($H$143,0),0)</f>
        <v>3</v>
      </c>
      <c r="I149" s="421">
        <f t="shared" ref="I149" si="6">($I$146/H149)</f>
        <v>0.15</v>
      </c>
      <c r="J149" s="595">
        <f>ROUNDUP(H149*I149*VLOOKUP(G149,FabricMapping!$F$28:$N$31,6,FALSE)*FabricMapping!$AN$34,0)</f>
        <v>51</v>
      </c>
      <c r="K149" s="596"/>
      <c r="L149" s="401"/>
      <c r="M149" s="412"/>
      <c r="N149" s="228"/>
      <c r="O149" s="195"/>
      <c r="P149" s="49"/>
      <c r="Q149" s="49"/>
      <c r="R149" s="49"/>
      <c r="S149" s="49"/>
      <c r="T149" s="49"/>
      <c r="U149" s="49"/>
      <c r="V149" s="49"/>
      <c r="W149" s="49"/>
      <c r="X149" s="49"/>
    </row>
    <row r="150" spans="2:24" s="177" customFormat="1" ht="15" thickBot="1" x14ac:dyDescent="0.35">
      <c r="B150" s="195"/>
      <c r="C150" s="400"/>
      <c r="D150" s="195"/>
      <c r="E150" s="562"/>
      <c r="F150" s="195"/>
      <c r="G150" s="415" t="s">
        <v>264</v>
      </c>
      <c r="H150" s="422">
        <f>ROUNDUP(VLOOKUP($G150,FabricMapping!$F$28:$I$31,3,FALSE)*ROUNDUP($H$143,0),0)</f>
        <v>2</v>
      </c>
      <c r="I150" s="423">
        <f>($I$146/H150)+0.05</f>
        <v>0.27499999999999997</v>
      </c>
      <c r="J150" s="581">
        <f>ROUNDUP(H150*I150*VLOOKUP(G150,FabricMapping!$F$28:$N$31,6,FALSE)*FabricMapping!$AN$34,0)</f>
        <v>212</v>
      </c>
      <c r="K150" s="582"/>
      <c r="L150" s="401"/>
      <c r="M150" s="412"/>
      <c r="N150" s="228"/>
      <c r="O150" s="195"/>
      <c r="P150" s="49"/>
      <c r="Q150" s="49"/>
      <c r="R150" s="49"/>
      <c r="S150" s="49"/>
      <c r="T150" s="49"/>
      <c r="U150" s="49"/>
      <c r="V150" s="49"/>
      <c r="W150" s="49"/>
      <c r="X150" s="49"/>
    </row>
    <row r="151" spans="2:24" s="177" customFormat="1" ht="14.4" x14ac:dyDescent="0.3">
      <c r="B151" s="195"/>
      <c r="C151" s="400"/>
      <c r="D151" s="195"/>
      <c r="E151" s="562"/>
      <c r="F151" s="195"/>
      <c r="G151" s="245" t="s">
        <v>265</v>
      </c>
      <c r="H151" s="195"/>
      <c r="I151" s="195"/>
      <c r="J151" s="195"/>
      <c r="K151" s="195"/>
      <c r="L151" s="401"/>
      <c r="M151" s="412"/>
      <c r="N151" s="195"/>
      <c r="O151" s="195"/>
      <c r="P151" s="49"/>
      <c r="Q151" s="49"/>
      <c r="R151" s="49"/>
      <c r="S151" s="49"/>
      <c r="T151" s="49"/>
      <c r="U151" s="49"/>
      <c r="V151" s="49"/>
      <c r="W151" s="49"/>
      <c r="X151" s="49"/>
    </row>
    <row r="152" spans="2:24" s="177" customFormat="1" ht="14.4" x14ac:dyDescent="0.3">
      <c r="B152" s="195"/>
      <c r="C152" s="400"/>
      <c r="D152" s="195"/>
      <c r="E152" s="562"/>
      <c r="F152" s="195"/>
      <c r="G152" s="481" t="s">
        <v>205</v>
      </c>
      <c r="H152" s="482" t="s">
        <v>236</v>
      </c>
      <c r="I152" s="482" t="s">
        <v>237</v>
      </c>
      <c r="J152" s="482" t="s">
        <v>238</v>
      </c>
      <c r="K152" s="483" t="s">
        <v>209</v>
      </c>
      <c r="L152" s="401"/>
      <c r="M152" s="412"/>
      <c r="N152" s="195"/>
      <c r="O152" s="195"/>
      <c r="P152" s="49"/>
      <c r="Q152" s="49"/>
      <c r="R152" s="49"/>
      <c r="S152" s="49"/>
      <c r="T152" s="49"/>
      <c r="U152" s="49"/>
      <c r="V152" s="49"/>
      <c r="W152" s="49"/>
      <c r="X152" s="49"/>
    </row>
    <row r="153" spans="2:24" s="177" customFormat="1" ht="14.4" x14ac:dyDescent="0.3">
      <c r="B153" s="195"/>
      <c r="C153" s="400"/>
      <c r="D153" s="195"/>
      <c r="E153" s="562"/>
      <c r="F153" s="195"/>
      <c r="G153" s="484">
        <f>ROUNDUP((((((LEFT($G$8,LEN($G$8)-2)*1024)/SUM($H$148:$H$150)))/4)*SUM($H$148:$H$150)*$G$5)*FabricMapping!$AR$61,0)</f>
        <v>1</v>
      </c>
      <c r="H153" s="485">
        <f>ROUNDUP((((((LEFT($G$8,LEN($G$8)-2)*1024)/SUM($H$148:$H$150)))/4)*SUM($H$148:$H$150)*$G$5)*FabricMapping!$AR$62,0)</f>
        <v>7</v>
      </c>
      <c r="I153" s="485">
        <f>ROUNDUP((SUM($H$148:$H$150)*$G$5)*FabricMapping!$AR$63,0)</f>
        <v>1</v>
      </c>
      <c r="J153" s="485">
        <f>ROUNDUP((SUM($H$148:$H$150)*$G$5)*FabricMapping!$AR$64,0)</f>
        <v>1</v>
      </c>
      <c r="K153" s="486">
        <f>SUM(G153:J153)</f>
        <v>10</v>
      </c>
      <c r="L153" s="401"/>
      <c r="M153" s="412"/>
      <c r="N153" s="195"/>
      <c r="O153" s="195"/>
      <c r="P153" s="49"/>
      <c r="Q153" s="49"/>
      <c r="R153" s="49"/>
      <c r="S153" s="49"/>
      <c r="T153" s="49"/>
      <c r="U153" s="49"/>
      <c r="V153" s="49"/>
      <c r="W153" s="49"/>
      <c r="X153" s="49"/>
    </row>
    <row r="154" spans="2:24" s="177" customFormat="1" ht="14.4" x14ac:dyDescent="0.3">
      <c r="B154" s="195"/>
      <c r="C154" s="400"/>
      <c r="D154" s="195"/>
      <c r="E154" s="195"/>
      <c r="F154" s="195"/>
      <c r="G154" s="195"/>
      <c r="H154" s="195"/>
      <c r="I154" s="195"/>
      <c r="J154" s="195"/>
      <c r="K154" s="195"/>
      <c r="L154" s="401"/>
      <c r="M154" s="412"/>
      <c r="N154" s="195"/>
      <c r="O154" s="195"/>
      <c r="P154" s="49"/>
      <c r="Q154" s="49"/>
      <c r="R154" s="49"/>
      <c r="S154" s="49"/>
      <c r="T154" s="49"/>
      <c r="U154" s="49"/>
      <c r="V154" s="49"/>
      <c r="W154" s="49"/>
      <c r="X154" s="49"/>
    </row>
    <row r="155" spans="2:24" s="177" customFormat="1" ht="15" thickBot="1" x14ac:dyDescent="0.35">
      <c r="B155" s="195"/>
      <c r="C155" s="409"/>
      <c r="D155" s="408"/>
      <c r="E155" s="408"/>
      <c r="F155" s="408"/>
      <c r="G155" s="408"/>
      <c r="H155" s="408"/>
      <c r="I155" s="408"/>
      <c r="J155" s="408"/>
      <c r="K155" s="408"/>
      <c r="L155" s="410"/>
      <c r="M155" s="195"/>
      <c r="N155" s="195"/>
      <c r="O155" s="195"/>
      <c r="P155" s="49"/>
      <c r="Q155" s="49"/>
      <c r="R155" s="49"/>
      <c r="S155" s="49"/>
      <c r="T155" s="49"/>
      <c r="U155" s="49"/>
      <c r="V155" s="49"/>
      <c r="W155" s="49"/>
      <c r="X155" s="49"/>
    </row>
    <row r="156" spans="2:24" s="177" customFormat="1" ht="14.4" x14ac:dyDescent="0.3">
      <c r="B156" s="49"/>
      <c r="C156" s="49"/>
      <c r="D156" s="49"/>
      <c r="E156" s="49"/>
      <c r="F156" s="49"/>
      <c r="G156" s="49"/>
      <c r="H156" s="49"/>
      <c r="I156" s="49"/>
      <c r="J156" s="49"/>
      <c r="K156" s="49"/>
      <c r="L156" s="49"/>
      <c r="M156" s="49"/>
      <c r="N156" s="195"/>
      <c r="O156" s="195"/>
      <c r="P156" s="49"/>
      <c r="Q156" s="49"/>
      <c r="R156" s="49"/>
      <c r="S156" s="49"/>
      <c r="T156" s="49"/>
      <c r="U156" s="49"/>
      <c r="V156" s="49"/>
      <c r="W156" s="49"/>
      <c r="X156" s="49"/>
    </row>
    <row r="157" spans="2:24" s="177" customFormat="1" ht="14.4" x14ac:dyDescent="0.3">
      <c r="B157" s="49"/>
      <c r="C157" s="49"/>
      <c r="D157" s="49"/>
      <c r="E157" s="49"/>
      <c r="F157" s="49"/>
      <c r="G157" s="49"/>
      <c r="H157" s="49"/>
      <c r="I157" s="49"/>
      <c r="J157" s="49"/>
      <c r="K157" s="49"/>
      <c r="L157" s="49"/>
      <c r="M157" s="49"/>
      <c r="N157" s="195"/>
      <c r="O157" s="195"/>
      <c r="P157" s="49"/>
      <c r="Q157" s="49"/>
      <c r="R157" s="49"/>
      <c r="S157" s="49"/>
      <c r="T157" s="49"/>
      <c r="U157" s="49"/>
      <c r="V157" s="49"/>
      <c r="W157" s="49"/>
      <c r="X157" s="49"/>
    </row>
    <row r="158" spans="2:24" s="177" customFormat="1" ht="14.4" x14ac:dyDescent="0.3">
      <c r="B158" s="49"/>
      <c r="C158" s="49"/>
      <c r="D158" s="49"/>
      <c r="E158" s="49"/>
      <c r="F158" s="49"/>
      <c r="G158" s="49"/>
      <c r="H158" s="49"/>
      <c r="I158" s="49"/>
      <c r="J158" s="49"/>
      <c r="K158" s="49"/>
      <c r="L158" s="49"/>
      <c r="M158" s="49"/>
      <c r="N158" s="195"/>
      <c r="O158" s="195"/>
      <c r="P158" s="49"/>
      <c r="Q158" s="49"/>
      <c r="R158" s="49"/>
      <c r="S158" s="49"/>
      <c r="T158" s="49"/>
      <c r="U158" s="49"/>
      <c r="V158" s="49"/>
      <c r="W158" s="49"/>
      <c r="X158" s="49"/>
    </row>
    <row r="159" spans="2:24" s="177" customFormat="1" ht="14.4" x14ac:dyDescent="0.3">
      <c r="B159" s="49"/>
      <c r="C159" s="49"/>
      <c r="D159" s="49"/>
      <c r="E159" s="49"/>
      <c r="F159" s="49"/>
      <c r="G159" s="49"/>
      <c r="H159" s="49"/>
      <c r="I159" s="49"/>
      <c r="J159" s="49"/>
      <c r="K159" s="49"/>
      <c r="L159" s="49"/>
      <c r="M159" s="49"/>
      <c r="N159" s="195"/>
      <c r="O159" s="195"/>
      <c r="P159" s="49"/>
      <c r="Q159" s="49"/>
      <c r="R159" s="49"/>
      <c r="S159" s="49"/>
      <c r="T159" s="49"/>
      <c r="U159" s="49"/>
      <c r="V159" s="49"/>
      <c r="W159" s="49"/>
      <c r="X159" s="49"/>
    </row>
    <row r="160" spans="2:24" s="177" customFormat="1" ht="15" thickBot="1" x14ac:dyDescent="0.35">
      <c r="B160" s="49"/>
      <c r="C160" s="49"/>
      <c r="D160" s="49"/>
      <c r="E160" s="49"/>
      <c r="F160" s="49"/>
      <c r="G160" s="49"/>
      <c r="H160" s="49"/>
      <c r="I160" s="49"/>
      <c r="J160" s="49"/>
      <c r="K160" s="49"/>
      <c r="L160" s="49"/>
      <c r="M160" s="49"/>
      <c r="N160" s="195"/>
      <c r="O160" s="195"/>
      <c r="P160" s="49"/>
      <c r="Q160" s="49"/>
      <c r="R160" s="49"/>
      <c r="S160" s="49"/>
      <c r="T160" s="49"/>
      <c r="U160" s="49"/>
      <c r="V160" s="49"/>
      <c r="W160" s="49"/>
      <c r="X160" s="49"/>
    </row>
    <row r="161" spans="2:24" s="177" customFormat="1" ht="23.4" x14ac:dyDescent="0.45">
      <c r="B161" s="49"/>
      <c r="C161" s="188" t="s">
        <v>266</v>
      </c>
      <c r="D161" s="190"/>
      <c r="E161" s="190"/>
      <c r="F161" s="190"/>
      <c r="G161" s="190"/>
      <c r="H161" s="190"/>
      <c r="I161" s="190"/>
      <c r="J161" s="190"/>
      <c r="K161" s="190"/>
      <c r="L161" s="246"/>
      <c r="M161" s="49"/>
      <c r="N161" s="195"/>
      <c r="O161" s="195"/>
      <c r="P161" s="49"/>
      <c r="Q161" s="49"/>
      <c r="R161" s="49"/>
      <c r="S161" s="49"/>
      <c r="T161" s="49"/>
      <c r="U161" s="49"/>
      <c r="V161" s="49"/>
      <c r="W161" s="49"/>
      <c r="X161" s="49"/>
    </row>
    <row r="162" spans="2:24" s="177" customFormat="1" ht="14.4" x14ac:dyDescent="0.3">
      <c r="B162" s="49"/>
      <c r="C162" s="247"/>
      <c r="D162" s="49"/>
      <c r="E162" s="49"/>
      <c r="F162" s="49"/>
      <c r="G162" s="49"/>
      <c r="H162" s="49"/>
      <c r="I162" s="49"/>
      <c r="J162" s="49"/>
      <c r="K162" s="49"/>
      <c r="L162" s="248"/>
      <c r="M162" s="49"/>
      <c r="N162" s="195"/>
      <c r="O162" s="195"/>
      <c r="P162" s="49"/>
      <c r="Q162" s="49"/>
      <c r="R162" s="49"/>
      <c r="S162" s="49"/>
      <c r="T162" s="49"/>
      <c r="U162" s="49"/>
      <c r="V162" s="49"/>
      <c r="W162" s="49"/>
      <c r="X162" s="49"/>
    </row>
    <row r="163" spans="2:24" s="177" customFormat="1" ht="14.4" x14ac:dyDescent="0.3">
      <c r="B163" s="49"/>
      <c r="C163" s="247"/>
      <c r="D163" s="49"/>
      <c r="E163" s="49"/>
      <c r="F163" s="49"/>
      <c r="G163" s="49"/>
      <c r="H163" s="49"/>
      <c r="I163" s="49"/>
      <c r="J163" s="49"/>
      <c r="K163" s="49"/>
      <c r="L163" s="248"/>
      <c r="M163" s="49"/>
      <c r="N163" s="195"/>
      <c r="O163" s="195"/>
      <c r="P163" s="49"/>
      <c r="Q163" s="49"/>
      <c r="R163" s="49"/>
      <c r="S163" s="49"/>
      <c r="T163" s="49"/>
      <c r="U163" s="49"/>
      <c r="V163" s="49"/>
      <c r="W163" s="49"/>
      <c r="X163" s="49"/>
    </row>
    <row r="164" spans="2:24" s="177" customFormat="1" ht="15" thickBot="1" x14ac:dyDescent="0.35">
      <c r="B164" s="195"/>
      <c r="C164" s="400"/>
      <c r="D164" s="195"/>
      <c r="E164" s="195"/>
      <c r="F164" s="195"/>
      <c r="G164" s="195"/>
      <c r="H164" s="195"/>
      <c r="I164" s="195"/>
      <c r="J164" s="195"/>
      <c r="K164" s="195"/>
      <c r="L164" s="401"/>
      <c r="M164" s="195"/>
      <c r="N164" s="195"/>
      <c r="O164" s="195"/>
      <c r="P164" s="49"/>
      <c r="Q164" s="49"/>
      <c r="R164" s="49"/>
      <c r="S164" s="49"/>
      <c r="T164" s="49"/>
      <c r="U164" s="49"/>
      <c r="V164" s="49"/>
      <c r="W164" s="49"/>
      <c r="X164" s="49"/>
    </row>
    <row r="165" spans="2:24" s="177" customFormat="1" ht="28.8" x14ac:dyDescent="0.3">
      <c r="B165" s="195"/>
      <c r="C165" s="400"/>
      <c r="D165" s="195"/>
      <c r="E165" s="195"/>
      <c r="F165" s="195"/>
      <c r="G165" s="216" t="s">
        <v>222</v>
      </c>
      <c r="H165" s="216" t="s">
        <v>223</v>
      </c>
      <c r="I165" s="216" t="s">
        <v>224</v>
      </c>
      <c r="J165" s="195"/>
      <c r="K165" s="195"/>
      <c r="L165" s="401"/>
      <c r="M165" s="195"/>
      <c r="N165" s="195"/>
      <c r="O165" s="195"/>
      <c r="P165" s="49"/>
      <c r="Q165" s="49"/>
      <c r="R165" s="49"/>
      <c r="S165" s="49"/>
      <c r="T165" s="49"/>
      <c r="U165" s="49"/>
      <c r="V165" s="49"/>
      <c r="W165" s="49"/>
      <c r="X165" s="49"/>
    </row>
    <row r="166" spans="2:24" s="177" customFormat="1" ht="14.4" x14ac:dyDescent="0.3">
      <c r="B166" s="195"/>
      <c r="C166" s="400"/>
      <c r="D166" s="195"/>
      <c r="E166" s="217" t="s">
        <v>267</v>
      </c>
      <c r="F166" s="49"/>
      <c r="G166" s="218">
        <f>J182+K189</f>
        <v>134</v>
      </c>
      <c r="H166" s="218">
        <f>G166*7</f>
        <v>938</v>
      </c>
      <c r="I166" s="218">
        <f>H166*52/12</f>
        <v>4064.6666666666665</v>
      </c>
      <c r="J166" s="195"/>
      <c r="K166" s="195"/>
      <c r="L166" s="401"/>
      <c r="M166" s="195"/>
      <c r="N166" s="195"/>
      <c r="O166" s="195"/>
      <c r="P166" s="49"/>
      <c r="Q166" s="49"/>
      <c r="R166" s="49"/>
      <c r="S166" s="49"/>
      <c r="T166" s="49"/>
      <c r="U166" s="49"/>
      <c r="V166" s="49"/>
      <c r="W166" s="49"/>
      <c r="X166" s="49"/>
    </row>
    <row r="167" spans="2:24" s="177" customFormat="1" ht="14.4" x14ac:dyDescent="0.3">
      <c r="B167" s="195"/>
      <c r="C167" s="400"/>
      <c r="D167" s="195"/>
      <c r="E167" s="219" t="s">
        <v>225</v>
      </c>
      <c r="F167" s="49"/>
      <c r="G167" s="220" t="str">
        <f>VLOOKUP(G166,FabricMapping!$C$11:$F$21,4,1)</f>
        <v>F2</v>
      </c>
      <c r="H167" s="220" t="str">
        <f>VLOOKUP(H166,FabricMapping!$D$11:$F$21,3,1)</f>
        <v>F2</v>
      </c>
      <c r="I167" s="220" t="str">
        <f>VLOOKUP(I166,FabricMapping!$E$11:$F$21,2,1)</f>
        <v>F2</v>
      </c>
      <c r="J167" s="195"/>
      <c r="K167" s="195"/>
      <c r="L167" s="401"/>
      <c r="M167" s="195"/>
      <c r="N167" s="195"/>
      <c r="O167" s="195"/>
      <c r="P167" s="49"/>
      <c r="Q167" s="49"/>
      <c r="R167" s="49"/>
      <c r="S167" s="49"/>
      <c r="T167" s="49"/>
      <c r="U167" s="49"/>
      <c r="V167" s="49"/>
      <c r="W167" s="49"/>
      <c r="X167" s="49"/>
    </row>
    <row r="168" spans="2:24" s="177" customFormat="1" ht="14.4" x14ac:dyDescent="0.3">
      <c r="B168" s="195"/>
      <c r="C168" s="400"/>
      <c r="D168" s="195"/>
      <c r="E168" s="219" t="s">
        <v>226</v>
      </c>
      <c r="F168" s="49"/>
      <c r="G168" s="218">
        <f>VLOOKUP(G167,FabricMapping!$F$10:$J$21,3,0)</f>
        <v>2880</v>
      </c>
      <c r="H168" s="218">
        <f>VLOOKUP(H167,FabricMapping!$F$10:$J$21,4,0)</f>
        <v>20160</v>
      </c>
      <c r="I168" s="218">
        <f>VLOOKUP(I167,FabricMapping!$F$10:$J$21,5,0)</f>
        <v>87360</v>
      </c>
      <c r="J168" s="195"/>
      <c r="K168" s="195"/>
      <c r="L168" s="401"/>
      <c r="M168" s="195"/>
      <c r="N168" s="195"/>
      <c r="O168" s="195"/>
      <c r="P168" s="49"/>
      <c r="Q168" s="49"/>
      <c r="R168" s="49"/>
      <c r="S168" s="49"/>
      <c r="T168" s="49"/>
      <c r="U168" s="49"/>
      <c r="V168" s="49"/>
      <c r="W168" s="49"/>
      <c r="X168" s="49"/>
    </row>
    <row r="169" spans="2:24" s="177" customFormat="1" ht="18" hidden="1" x14ac:dyDescent="0.35">
      <c r="B169" s="221"/>
      <c r="C169" s="400"/>
      <c r="D169" s="195"/>
      <c r="E169" s="219" t="s">
        <v>227</v>
      </c>
      <c r="F169" s="49"/>
      <c r="G169" s="222">
        <f>G168*Cost_Setup!$F$7/60</f>
        <v>8.6399999999999988</v>
      </c>
      <c r="H169" s="222">
        <f>H168*Cost_Setup!$F$7/60</f>
        <v>60.48</v>
      </c>
      <c r="I169" s="222">
        <f>I168*Cost_Setup!$F$7/60</f>
        <v>262.08</v>
      </c>
      <c r="J169" s="195"/>
      <c r="K169" s="195"/>
      <c r="L169" s="401"/>
      <c r="M169" s="195"/>
      <c r="N169" s="195"/>
      <c r="O169" s="195"/>
      <c r="P169" s="49"/>
      <c r="Q169" s="49"/>
      <c r="R169" s="49"/>
      <c r="S169" s="49"/>
      <c r="T169" s="49"/>
      <c r="U169" s="49"/>
      <c r="V169" s="49"/>
      <c r="W169" s="49"/>
      <c r="X169" s="49"/>
    </row>
    <row r="170" spans="2:24" s="177" customFormat="1" ht="14.4" x14ac:dyDescent="0.3">
      <c r="B170" s="195"/>
      <c r="C170" s="400"/>
      <c r="D170" s="195"/>
      <c r="E170" s="219" t="s">
        <v>228</v>
      </c>
      <c r="F170" s="49"/>
      <c r="G170" s="223">
        <f>G166/G168</f>
        <v>4.6527777777777779E-2</v>
      </c>
      <c r="H170" s="223">
        <f t="shared" ref="H170:I170" si="7">H166/H168</f>
        <v>4.6527777777777779E-2</v>
      </c>
      <c r="I170" s="223">
        <f t="shared" si="7"/>
        <v>4.6527777777777779E-2</v>
      </c>
      <c r="J170" s="195"/>
      <c r="K170" s="195"/>
      <c r="L170" s="401"/>
      <c r="M170" s="195"/>
      <c r="N170" s="195"/>
      <c r="O170" s="195"/>
      <c r="P170" s="49"/>
      <c r="Q170" s="49"/>
      <c r="R170" s="49"/>
      <c r="S170" s="49"/>
      <c r="T170" s="49"/>
      <c r="U170" s="49"/>
      <c r="V170" s="49"/>
      <c r="W170" s="49"/>
      <c r="X170" s="49"/>
    </row>
    <row r="171" spans="2:24" s="177" customFormat="1" ht="14.4" x14ac:dyDescent="0.3">
      <c r="B171" s="195"/>
      <c r="C171" s="400"/>
      <c r="D171" s="195"/>
      <c r="E171" s="195"/>
      <c r="F171" s="195"/>
      <c r="G171" s="195"/>
      <c r="H171" s="195"/>
      <c r="I171" s="195"/>
      <c r="J171" s="195"/>
      <c r="K171" s="195"/>
      <c r="L171" s="401"/>
      <c r="M171" s="195"/>
      <c r="N171" s="195"/>
      <c r="O171" s="195"/>
      <c r="P171" s="49"/>
      <c r="Q171" s="49"/>
      <c r="R171" s="49"/>
      <c r="S171" s="49"/>
      <c r="T171" s="49"/>
      <c r="U171" s="49"/>
      <c r="V171" s="49"/>
      <c r="W171" s="49"/>
      <c r="X171" s="49"/>
    </row>
    <row r="172" spans="2:24" s="177" customFormat="1" ht="14.4" x14ac:dyDescent="0.3">
      <c r="B172" s="49"/>
      <c r="C172" s="247"/>
      <c r="D172" s="49"/>
      <c r="E172" s="49"/>
      <c r="F172" s="49"/>
      <c r="G172" s="49"/>
      <c r="H172" s="49"/>
      <c r="I172" s="49"/>
      <c r="J172" s="49"/>
      <c r="K172" s="49"/>
      <c r="L172" s="248"/>
      <c r="M172" s="49"/>
      <c r="N172" s="195"/>
      <c r="O172" s="195"/>
      <c r="P172" s="49"/>
      <c r="Q172" s="49"/>
      <c r="R172" s="49"/>
      <c r="S172" s="49"/>
      <c r="T172" s="49"/>
      <c r="U172" s="49"/>
      <c r="V172" s="49"/>
      <c r="W172" s="49"/>
      <c r="X172" s="49"/>
    </row>
    <row r="173" spans="2:24" s="177" customFormat="1" ht="15" thickBot="1" x14ac:dyDescent="0.35">
      <c r="B173" s="195"/>
      <c r="C173" s="400"/>
      <c r="D173" s="195"/>
      <c r="E173" s="195"/>
      <c r="F173" s="195"/>
      <c r="G173" s="195"/>
      <c r="H173" s="195"/>
      <c r="I173" s="195"/>
      <c r="J173" s="195"/>
      <c r="K173" s="195"/>
      <c r="L173" s="401"/>
      <c r="M173" s="195"/>
      <c r="N173" s="195"/>
      <c r="O173" s="195"/>
      <c r="P173" s="49"/>
      <c r="Q173" s="49"/>
      <c r="R173" s="49"/>
      <c r="S173" s="49"/>
      <c r="T173" s="49"/>
      <c r="U173" s="49"/>
      <c r="V173" s="49"/>
      <c r="W173" s="49"/>
      <c r="X173" s="49"/>
    </row>
    <row r="174" spans="2:24" s="177" customFormat="1" ht="14.4" x14ac:dyDescent="0.3">
      <c r="B174" s="195"/>
      <c r="C174" s="400"/>
      <c r="D174" s="195"/>
      <c r="E174" s="195"/>
      <c r="F174" s="195"/>
      <c r="G174" s="563" t="s">
        <v>240</v>
      </c>
      <c r="H174" s="564"/>
      <c r="I174" s="564"/>
      <c r="J174" s="564"/>
      <c r="K174" s="565"/>
      <c r="L174" s="401"/>
      <c r="M174" s="195"/>
      <c r="N174" s="195"/>
      <c r="O174" s="195"/>
      <c r="P174" s="49"/>
      <c r="Q174" s="49"/>
      <c r="R174" s="49"/>
      <c r="S174" s="49"/>
      <c r="T174" s="49"/>
      <c r="U174" s="49"/>
      <c r="V174" s="49"/>
      <c r="W174" s="49"/>
      <c r="X174" s="49"/>
    </row>
    <row r="175" spans="2:24" s="177" customFormat="1" ht="14.4" x14ac:dyDescent="0.3">
      <c r="B175" s="195"/>
      <c r="C175" s="400"/>
      <c r="D175" s="195"/>
      <c r="E175" s="195"/>
      <c r="F175" s="195"/>
      <c r="G175" s="202" t="s">
        <v>55</v>
      </c>
      <c r="H175" s="224" t="s">
        <v>241</v>
      </c>
      <c r="I175" s="224" t="s">
        <v>242</v>
      </c>
      <c r="J175" s="224" t="s">
        <v>243</v>
      </c>
      <c r="K175" s="198" t="s">
        <v>244</v>
      </c>
      <c r="L175" s="401"/>
      <c r="M175" s="195"/>
      <c r="N175" s="195"/>
      <c r="O175" s="195"/>
      <c r="P175" s="49"/>
      <c r="Q175" s="49"/>
      <c r="R175" s="49"/>
      <c r="S175" s="49"/>
      <c r="T175" s="49"/>
      <c r="U175" s="49"/>
      <c r="V175" s="49"/>
      <c r="W175" s="49"/>
      <c r="X175" s="49"/>
    </row>
    <row r="176" spans="2:24" s="177" customFormat="1" ht="15" thickBot="1" x14ac:dyDescent="0.35">
      <c r="B176" s="195"/>
      <c r="C176" s="400"/>
      <c r="D176" s="195"/>
      <c r="E176" s="195"/>
      <c r="F176" s="195"/>
      <c r="G176" s="233" t="s">
        <v>56</v>
      </c>
      <c r="H176" s="226">
        <f>IFERROR(VLOOKUP($G$176,FabricMapping!$F$39:$J$43,4,FALSE),0)</f>
        <v>4</v>
      </c>
      <c r="I176" s="226">
        <f>IFERROR(VLOOKUP($G$176,FabricMapping!$F$39:$J$43,5,FALSE),0)</f>
        <v>60</v>
      </c>
      <c r="J176" s="226">
        <f>IFERROR((FabricMapping!$U$31*2)/$H$176,0)</f>
        <v>32</v>
      </c>
      <c r="K176" s="227">
        <f>J176*H176</f>
        <v>128</v>
      </c>
      <c r="L176" s="401"/>
      <c r="M176" s="195"/>
      <c r="N176" s="228"/>
      <c r="O176" s="195"/>
      <c r="P176" s="49"/>
      <c r="Q176" s="49"/>
      <c r="R176" s="49"/>
      <c r="S176" s="49"/>
      <c r="T176" s="49"/>
      <c r="U176" s="49"/>
      <c r="V176" s="49"/>
      <c r="W176" s="49"/>
      <c r="X176" s="49"/>
    </row>
    <row r="177" spans="2:24" s="177" customFormat="1" ht="14.4" x14ac:dyDescent="0.3">
      <c r="B177" s="195"/>
      <c r="C177" s="400"/>
      <c r="D177" s="195"/>
      <c r="E177" s="195"/>
      <c r="F177" s="195"/>
      <c r="G177" s="195"/>
      <c r="H177" s="195"/>
      <c r="I177" s="195"/>
      <c r="J177" s="195"/>
      <c r="K177" s="195"/>
      <c r="L177" s="401"/>
      <c r="M177" s="195"/>
      <c r="N177" s="195"/>
      <c r="O177" s="195"/>
      <c r="P177" s="49"/>
      <c r="Q177" s="49"/>
      <c r="R177" s="49"/>
      <c r="S177" s="49"/>
      <c r="T177" s="49"/>
      <c r="U177" s="49"/>
      <c r="V177" s="49"/>
      <c r="W177" s="49"/>
      <c r="X177" s="49"/>
    </row>
    <row r="178" spans="2:24" s="177" customFormat="1" ht="15" thickBot="1" x14ac:dyDescent="0.35">
      <c r="B178" s="195"/>
      <c r="C178" s="400"/>
      <c r="D178" s="195"/>
      <c r="E178" s="195"/>
      <c r="F178" s="195"/>
      <c r="G178" s="195"/>
      <c r="H178" s="195"/>
      <c r="I178" s="195"/>
      <c r="J178" s="195"/>
      <c r="K178" s="195"/>
      <c r="L178" s="401"/>
      <c r="M178" s="195"/>
      <c r="N178" s="195"/>
      <c r="O178" s="195"/>
      <c r="P178" s="49"/>
      <c r="Q178" s="49"/>
      <c r="R178" s="49"/>
      <c r="S178" s="49"/>
      <c r="T178" s="49"/>
      <c r="U178" s="49"/>
      <c r="V178" s="49"/>
      <c r="W178" s="49"/>
      <c r="X178" s="49"/>
    </row>
    <row r="179" spans="2:24" s="177" customFormat="1" ht="18.75" customHeight="1" thickBot="1" x14ac:dyDescent="0.35">
      <c r="B179" s="195"/>
      <c r="C179" s="400"/>
      <c r="D179" s="195"/>
      <c r="E179" s="562" t="s">
        <v>267</v>
      </c>
      <c r="F179" s="195"/>
      <c r="G179" s="563" t="str">
        <f>"Gold Zone - Data Engineering ("&amp;G176&amp;" Spark Cluster)"</f>
        <v>Gold Zone - Data Engineering (Medium (8 vCore, 64 Mem) Spark Cluster)</v>
      </c>
      <c r="H179" s="564"/>
      <c r="I179" s="564"/>
      <c r="J179" s="564"/>
      <c r="K179" s="565"/>
      <c r="L179" s="401"/>
      <c r="M179" s="195"/>
      <c r="N179" s="195"/>
      <c r="O179" s="195"/>
      <c r="P179" s="49"/>
      <c r="Q179" s="49"/>
      <c r="R179" s="49"/>
      <c r="S179" s="49"/>
      <c r="T179" s="49"/>
      <c r="U179" s="49"/>
      <c r="V179" s="49"/>
      <c r="W179" s="49"/>
      <c r="X179" s="49"/>
    </row>
    <row r="180" spans="2:24" s="177" customFormat="1" ht="15" thickBot="1" x14ac:dyDescent="0.35">
      <c r="B180" s="195"/>
      <c r="C180" s="400"/>
      <c r="D180" s="195"/>
      <c r="E180" s="562"/>
      <c r="F180" s="195"/>
      <c r="G180" s="241" t="s">
        <v>254</v>
      </c>
      <c r="H180" s="242">
        <f>MAX(12,ROUNDUP($G$6/8,0))</f>
        <v>25</v>
      </c>
      <c r="I180" s="243"/>
      <c r="J180" s="243"/>
      <c r="K180" s="244"/>
      <c r="L180" s="401"/>
      <c r="M180" s="195"/>
      <c r="N180" s="195"/>
      <c r="O180" s="195"/>
      <c r="P180" s="49"/>
      <c r="Q180" s="49"/>
      <c r="R180" s="49"/>
      <c r="S180" s="49"/>
      <c r="T180" s="49"/>
      <c r="U180" s="49"/>
      <c r="V180" s="49"/>
      <c r="W180" s="49"/>
      <c r="X180" s="49"/>
    </row>
    <row r="181" spans="2:24" s="177" customFormat="1" ht="14.4" x14ac:dyDescent="0.3">
      <c r="B181" s="195"/>
      <c r="C181" s="400"/>
      <c r="D181" s="195"/>
      <c r="E181" s="562"/>
      <c r="F181" s="195"/>
      <c r="G181" s="205" t="s">
        <v>268</v>
      </c>
      <c r="H181" s="224" t="s">
        <v>246</v>
      </c>
      <c r="I181" s="224" t="s">
        <v>258</v>
      </c>
      <c r="J181" s="567" t="s">
        <v>269</v>
      </c>
      <c r="K181" s="568"/>
      <c r="L181" s="401"/>
      <c r="M181" s="195"/>
      <c r="N181" s="195"/>
      <c r="O181" s="195"/>
      <c r="P181" s="49"/>
      <c r="Q181" s="49"/>
      <c r="R181" s="49"/>
      <c r="S181" s="49"/>
      <c r="T181" s="49"/>
      <c r="U181" s="49"/>
      <c r="V181" s="49"/>
      <c r="W181" s="49"/>
      <c r="X181" s="49"/>
    </row>
    <row r="182" spans="2:24" s="177" customFormat="1" ht="15" thickBot="1" x14ac:dyDescent="0.35">
      <c r="B182" s="195"/>
      <c r="C182" s="400"/>
      <c r="D182" s="195"/>
      <c r="E182" s="562"/>
      <c r="F182" s="195"/>
      <c r="G182" s="237">
        <f>$G$5</f>
        <v>1</v>
      </c>
      <c r="H182" s="226">
        <f>IFERROR(ROUNDUP((($K$46/$H$180)/$I$176),0)+1,0)</f>
        <v>2</v>
      </c>
      <c r="I182" s="226">
        <f>(K46/1000)*2.5</f>
        <v>0.44999999999999996</v>
      </c>
      <c r="J182" s="570">
        <f>SUM(J184:K186)*G182</f>
        <v>124</v>
      </c>
      <c r="K182" s="571"/>
      <c r="L182" s="401"/>
      <c r="M182" s="195"/>
      <c r="N182" s="228"/>
      <c r="O182" s="195"/>
      <c r="P182" s="49"/>
      <c r="Q182" s="49"/>
      <c r="R182" s="49"/>
      <c r="S182" s="49"/>
      <c r="T182" s="49"/>
      <c r="U182" s="49"/>
      <c r="V182" s="49"/>
      <c r="W182" s="49"/>
      <c r="X182" s="49"/>
    </row>
    <row r="183" spans="2:24" s="177" customFormat="1" ht="14.4" x14ac:dyDescent="0.3">
      <c r="B183" s="195"/>
      <c r="C183" s="400"/>
      <c r="D183" s="195"/>
      <c r="E183" s="562"/>
      <c r="F183" s="195"/>
      <c r="G183" s="205" t="s">
        <v>270</v>
      </c>
      <c r="H183" s="224" t="s">
        <v>260</v>
      </c>
      <c r="I183" s="249" t="s">
        <v>271</v>
      </c>
      <c r="J183" s="577" t="s">
        <v>248</v>
      </c>
      <c r="K183" s="578"/>
      <c r="L183" s="401"/>
      <c r="M183" s="195"/>
      <c r="N183" s="195"/>
      <c r="O183" s="195"/>
      <c r="P183" s="49"/>
      <c r="Q183" s="49"/>
      <c r="R183" s="49"/>
      <c r="S183" s="49"/>
      <c r="T183" s="49"/>
      <c r="U183" s="49"/>
      <c r="V183" s="49"/>
      <c r="W183" s="49"/>
      <c r="X183" s="49"/>
    </row>
    <row r="184" spans="2:24" s="177" customFormat="1" ht="14.4" x14ac:dyDescent="0.3">
      <c r="B184" s="195"/>
      <c r="C184" s="400"/>
      <c r="D184" s="195"/>
      <c r="E184" s="562"/>
      <c r="F184" s="195"/>
      <c r="G184" s="250" t="s">
        <v>262</v>
      </c>
      <c r="H184" s="419">
        <f>ROUNDUP(VLOOKUP($G184,FabricMapping!$F$28:$I$31,3,FALSE)*ROUNDUP($H$180,0),0)+IF(UserInputs!$D$4="Data Lakehouse",0,$G$6)</f>
        <v>22</v>
      </c>
      <c r="I184" s="251">
        <f>($I$182/(H184))+0.35</f>
        <v>0.37045454545454543</v>
      </c>
      <c r="J184" s="579">
        <f>ROUNDUP(H184*I184*(($H$182*VLOOKUP(G184,FabricMapping!$F$28:$N$31,7,FALSE))*$H$176),0)</f>
        <v>66</v>
      </c>
      <c r="K184" s="580"/>
      <c r="L184" s="401"/>
      <c r="M184" s="195"/>
      <c r="N184" s="228"/>
      <c r="O184" s="195"/>
      <c r="P184" s="49"/>
      <c r="Q184" s="49"/>
      <c r="R184" s="49"/>
      <c r="S184" s="49"/>
      <c r="T184" s="49"/>
      <c r="U184" s="49"/>
      <c r="V184" s="49"/>
      <c r="W184" s="49"/>
      <c r="X184" s="49"/>
    </row>
    <row r="185" spans="2:24" s="177" customFormat="1" ht="14.4" x14ac:dyDescent="0.3">
      <c r="B185" s="195"/>
      <c r="C185" s="400"/>
      <c r="D185" s="195"/>
      <c r="E185" s="562"/>
      <c r="F185" s="195"/>
      <c r="G185" s="250" t="s">
        <v>263</v>
      </c>
      <c r="H185" s="419">
        <f>ROUNDUP(VLOOKUP($G185,FabricMapping!$F$28:$I$31,3,FALSE)*ROUNDUP($H$180,0),0)</f>
        <v>3</v>
      </c>
      <c r="I185" s="251">
        <f>($I$182/(H185))+0.35</f>
        <v>0.5</v>
      </c>
      <c r="J185" s="579">
        <f>ROUNDUP(H185*I185*(($H$182*VLOOKUP(G185,FabricMapping!$F$28:$N$31,7,FALSE))*$H$176),0)</f>
        <v>24</v>
      </c>
      <c r="K185" s="580"/>
      <c r="L185" s="401"/>
      <c r="M185" s="195"/>
      <c r="N185" s="228"/>
      <c r="O185" s="195"/>
      <c r="P185" s="49"/>
      <c r="Q185" s="49"/>
      <c r="R185" s="49"/>
      <c r="S185" s="49"/>
      <c r="T185" s="49"/>
      <c r="U185" s="49"/>
      <c r="V185" s="49"/>
      <c r="W185" s="49"/>
      <c r="X185" s="49"/>
    </row>
    <row r="186" spans="2:24" s="177" customFormat="1" ht="15" thickBot="1" x14ac:dyDescent="0.35">
      <c r="B186" s="195"/>
      <c r="C186" s="400"/>
      <c r="D186" s="195"/>
      <c r="E186" s="562"/>
      <c r="F186" s="195"/>
      <c r="G186" s="237" t="s">
        <v>264</v>
      </c>
      <c r="H186" s="422">
        <f>ROUNDUP(VLOOKUP($G186,FabricMapping!$F$28:$I$31,3,FALSE)*ROUNDUP($H$180,0),0)</f>
        <v>2</v>
      </c>
      <c r="I186" s="252">
        <f>($I$182/(H186))+0.3</f>
        <v>0.52499999999999991</v>
      </c>
      <c r="J186" s="570">
        <f>ROUNDUP(H186*I186*(($H$182*VLOOKUP(G186,FabricMapping!$F$28:$N$31,7,FALSE))*$H$176),0)</f>
        <v>34</v>
      </c>
      <c r="K186" s="571"/>
      <c r="L186" s="401"/>
      <c r="M186" s="195"/>
      <c r="N186" s="228"/>
      <c r="O186" s="195"/>
      <c r="P186" s="49"/>
      <c r="Q186" s="49"/>
      <c r="R186" s="49"/>
      <c r="S186" s="49"/>
      <c r="T186" s="49"/>
      <c r="U186" s="49"/>
      <c r="V186" s="49"/>
      <c r="W186" s="49"/>
      <c r="X186" s="49"/>
    </row>
    <row r="187" spans="2:24" s="177" customFormat="1" ht="14.4" x14ac:dyDescent="0.3">
      <c r="B187" s="195"/>
      <c r="C187" s="400"/>
      <c r="D187" s="195"/>
      <c r="E187" s="562"/>
      <c r="F187" s="195"/>
      <c r="G187" s="195"/>
      <c r="H187" s="195"/>
      <c r="I187" s="195"/>
      <c r="J187" s="195"/>
      <c r="K187" s="195"/>
      <c r="L187" s="401"/>
      <c r="M187" s="195"/>
      <c r="N187" s="195"/>
      <c r="O187" s="195"/>
      <c r="P187" s="49"/>
      <c r="Q187" s="49"/>
      <c r="R187" s="49"/>
      <c r="S187" s="49"/>
      <c r="T187" s="49"/>
      <c r="U187" s="49"/>
      <c r="V187" s="49"/>
      <c r="W187" s="49"/>
      <c r="X187" s="49"/>
    </row>
    <row r="188" spans="2:24" s="177" customFormat="1" ht="14.4" x14ac:dyDescent="0.3">
      <c r="B188" s="195"/>
      <c r="C188" s="400"/>
      <c r="D188" s="195"/>
      <c r="E188" s="562"/>
      <c r="F188" s="195"/>
      <c r="G188" s="481" t="s">
        <v>205</v>
      </c>
      <c r="H188" s="482" t="s">
        <v>236</v>
      </c>
      <c r="I188" s="482" t="s">
        <v>237</v>
      </c>
      <c r="J188" s="482" t="s">
        <v>238</v>
      </c>
      <c r="K188" s="483" t="s">
        <v>209</v>
      </c>
      <c r="L188" s="401"/>
      <c r="M188" s="195"/>
      <c r="N188" s="195"/>
      <c r="O188" s="195"/>
      <c r="P188" s="49"/>
      <c r="Q188" s="49"/>
      <c r="R188" s="49"/>
      <c r="S188" s="49"/>
      <c r="T188" s="49"/>
      <c r="U188" s="49"/>
      <c r="V188" s="49"/>
      <c r="W188" s="49"/>
      <c r="X188" s="49"/>
    </row>
    <row r="189" spans="2:24" s="177" customFormat="1" ht="14.4" x14ac:dyDescent="0.3">
      <c r="B189" s="195"/>
      <c r="C189" s="400"/>
      <c r="D189" s="195"/>
      <c r="E189" s="562"/>
      <c r="F189" s="195"/>
      <c r="G189" s="484">
        <f>ROUNDUP((((((LEFT($G$8,LEN($G$8)-2)*1024)/SUM($H$184:$H$186)))/4)*SUM($H$184:$H$186)*$G$5)*FabricMapping!$AR$61,0)</f>
        <v>1</v>
      </c>
      <c r="H189" s="485">
        <f>ROUNDUP((((((LEFT($G$8,LEN($G$8)-2)*1024)/SUM($H$184:$H$186)))/4)*SUM($H$184:$H$186)*$G$5)*FabricMapping!$AR$62,0)</f>
        <v>7</v>
      </c>
      <c r="I189" s="485">
        <f>ROUNDUP((SUM($H$184:$H$186)*$G$5)*FabricMapping!$AR$63,0)</f>
        <v>1</v>
      </c>
      <c r="J189" s="485">
        <f>ROUNDUP((SUM($H$184:$H$186)*$G$5)*FabricMapping!$AR$64,0)</f>
        <v>1</v>
      </c>
      <c r="K189" s="486">
        <f>SUM(G189:J189)</f>
        <v>10</v>
      </c>
      <c r="L189" s="401"/>
      <c r="M189" s="195"/>
      <c r="N189" s="195"/>
      <c r="O189" s="195"/>
      <c r="P189" s="49"/>
      <c r="Q189" s="49"/>
      <c r="R189" s="49"/>
      <c r="S189" s="49"/>
      <c r="T189" s="49"/>
      <c r="U189" s="49"/>
      <c r="V189" s="49"/>
      <c r="W189" s="49"/>
      <c r="X189" s="49"/>
    </row>
    <row r="190" spans="2:24" s="177" customFormat="1" ht="14.4" x14ac:dyDescent="0.3">
      <c r="B190" s="195"/>
      <c r="C190" s="400"/>
      <c r="D190" s="195"/>
      <c r="E190" s="195"/>
      <c r="F190" s="195"/>
      <c r="G190" s="195"/>
      <c r="H190" s="195"/>
      <c r="I190" s="195"/>
      <c r="J190" s="195"/>
      <c r="K190" s="195"/>
      <c r="L190" s="401"/>
      <c r="M190" s="195"/>
      <c r="N190" s="195"/>
      <c r="O190" s="195"/>
      <c r="P190" s="49"/>
      <c r="Q190" s="49"/>
      <c r="R190" s="49"/>
      <c r="S190" s="49"/>
      <c r="T190" s="49"/>
      <c r="U190" s="49"/>
      <c r="V190" s="49"/>
      <c r="W190" s="49"/>
      <c r="X190" s="49"/>
    </row>
    <row r="191" spans="2:24" s="177" customFormat="1" ht="15" thickBot="1" x14ac:dyDescent="0.35">
      <c r="B191" s="195"/>
      <c r="C191" s="400"/>
      <c r="D191" s="195"/>
      <c r="E191" s="195"/>
      <c r="F191" s="195"/>
      <c r="G191" s="195"/>
      <c r="H191" s="195"/>
      <c r="I191" s="195"/>
      <c r="J191" s="195"/>
      <c r="K191" s="195"/>
      <c r="L191" s="401"/>
      <c r="M191" s="195"/>
      <c r="N191" s="195"/>
      <c r="O191" s="195"/>
      <c r="P191" s="49"/>
      <c r="Q191" s="49"/>
      <c r="R191" s="49"/>
      <c r="S191" s="49"/>
      <c r="T191" s="49"/>
      <c r="U191" s="49"/>
      <c r="V191" s="49"/>
      <c r="W191" s="49"/>
      <c r="X191" s="49"/>
    </row>
    <row r="192" spans="2:24" s="177" customFormat="1" ht="28.8" x14ac:dyDescent="0.3">
      <c r="B192" s="195"/>
      <c r="C192" s="400"/>
      <c r="D192" s="195"/>
      <c r="E192" s="195"/>
      <c r="F192" s="195"/>
      <c r="G192" s="216" t="s">
        <v>222</v>
      </c>
      <c r="H192" s="216" t="s">
        <v>223</v>
      </c>
      <c r="I192" s="216" t="s">
        <v>224</v>
      </c>
      <c r="J192" s="195"/>
      <c r="K192" s="195"/>
      <c r="L192" s="401"/>
      <c r="M192" s="195"/>
      <c r="N192" s="195"/>
      <c r="O192" s="195"/>
      <c r="P192" s="49"/>
      <c r="Q192" s="49"/>
      <c r="R192" s="49"/>
      <c r="S192" s="49"/>
      <c r="T192" s="49"/>
      <c r="U192" s="49"/>
      <c r="V192" s="49"/>
      <c r="W192" s="49"/>
      <c r="X192" s="49"/>
    </row>
    <row r="193" spans="1:24" s="177" customFormat="1" ht="14.4" x14ac:dyDescent="0.3">
      <c r="A193" s="195"/>
      <c r="B193" s="195"/>
      <c r="C193" s="400"/>
      <c r="D193" s="195"/>
      <c r="E193" s="217" t="s">
        <v>272</v>
      </c>
      <c r="F193" s="49"/>
      <c r="G193" s="218">
        <f>J203</f>
        <v>0</v>
      </c>
      <c r="H193" s="218">
        <f>G193*$G$3</f>
        <v>0</v>
      </c>
      <c r="I193" s="218">
        <f>H193*52/12</f>
        <v>0</v>
      </c>
      <c r="J193" s="195"/>
      <c r="K193" s="195"/>
      <c r="L193" s="401"/>
      <c r="M193" s="195"/>
      <c r="N193" s="195"/>
      <c r="O193" s="195"/>
      <c r="P193" s="49"/>
      <c r="Q193" s="49"/>
      <c r="R193" s="49"/>
      <c r="S193" s="49"/>
      <c r="T193" s="49"/>
      <c r="U193" s="49"/>
      <c r="V193" s="49"/>
      <c r="W193" s="49"/>
      <c r="X193" s="49"/>
    </row>
    <row r="194" spans="1:24" s="177" customFormat="1" ht="14.4" x14ac:dyDescent="0.3">
      <c r="A194" s="195"/>
      <c r="B194" s="195"/>
      <c r="C194" s="400"/>
      <c r="D194" s="195"/>
      <c r="E194" s="219" t="s">
        <v>225</v>
      </c>
      <c r="F194" s="49"/>
      <c r="G194" s="220" t="str">
        <f>VLOOKUP(G193,FabricMapping!$C$11:$F$21,4,1)</f>
        <v>F2</v>
      </c>
      <c r="H194" s="220" t="str">
        <f>VLOOKUP(H193,FabricMapping!$D$11:$F$21,3,1)</f>
        <v>F2</v>
      </c>
      <c r="I194" s="220" t="str">
        <f>VLOOKUP(I193,FabricMapping!$E$11:$F$21,2,1)</f>
        <v>F2</v>
      </c>
      <c r="J194" s="195"/>
      <c r="K194" s="195"/>
      <c r="L194" s="401"/>
      <c r="M194" s="195"/>
      <c r="N194" s="195"/>
      <c r="O194" s="195"/>
      <c r="P194" s="49"/>
      <c r="Q194" s="49"/>
      <c r="R194" s="49"/>
      <c r="S194" s="49"/>
      <c r="T194" s="49"/>
      <c r="U194" s="49"/>
      <c r="V194" s="49"/>
      <c r="W194" s="49"/>
      <c r="X194" s="49"/>
    </row>
    <row r="195" spans="1:24" s="177" customFormat="1" ht="14.4" x14ac:dyDescent="0.3">
      <c r="A195" s="195"/>
      <c r="B195" s="195"/>
      <c r="C195" s="400"/>
      <c r="D195" s="195"/>
      <c r="E195" s="219" t="s">
        <v>226</v>
      </c>
      <c r="F195" s="49"/>
      <c r="G195" s="218">
        <f>VLOOKUP(G194,FabricMapping!$F$10:$J$21,3,0)</f>
        <v>2880</v>
      </c>
      <c r="H195" s="218">
        <f>VLOOKUP(H194,FabricMapping!$F$10:$J$21,4,0)</f>
        <v>20160</v>
      </c>
      <c r="I195" s="218">
        <f>VLOOKUP(I194,FabricMapping!$F$10:$J$21,5,0)</f>
        <v>87360</v>
      </c>
      <c r="J195" s="195"/>
      <c r="K195" s="195"/>
      <c r="L195" s="401"/>
      <c r="M195" s="195"/>
      <c r="N195" s="195"/>
      <c r="O195" s="195"/>
      <c r="P195" s="49"/>
      <c r="Q195" s="49"/>
      <c r="R195" s="49"/>
      <c r="S195" s="49"/>
      <c r="T195" s="49"/>
      <c r="U195" s="49"/>
      <c r="V195" s="49"/>
      <c r="W195" s="49"/>
      <c r="X195" s="49"/>
    </row>
    <row r="196" spans="1:24" s="177" customFormat="1" ht="18" hidden="1" x14ac:dyDescent="0.35">
      <c r="A196" s="195"/>
      <c r="B196" s="221"/>
      <c r="C196" s="400"/>
      <c r="D196" s="195"/>
      <c r="E196" s="219" t="s">
        <v>227</v>
      </c>
      <c r="F196" s="49"/>
      <c r="G196" s="222">
        <f>G195*Cost_Setup!$F$7/60</f>
        <v>8.6399999999999988</v>
      </c>
      <c r="H196" s="222">
        <f>H195*Cost_Setup!$F$7/60</f>
        <v>60.48</v>
      </c>
      <c r="I196" s="222">
        <f>I195*Cost_Setup!$F$7/60</f>
        <v>262.08</v>
      </c>
      <c r="J196" s="195"/>
      <c r="K196" s="195"/>
      <c r="L196" s="401"/>
      <c r="M196" s="195"/>
      <c r="N196" s="195"/>
      <c r="O196" s="195"/>
      <c r="P196" s="49"/>
      <c r="Q196" s="49"/>
      <c r="R196" s="49"/>
      <c r="S196" s="49"/>
      <c r="T196" s="49"/>
      <c r="U196" s="49"/>
      <c r="V196" s="49"/>
      <c r="W196" s="49"/>
      <c r="X196" s="49"/>
    </row>
    <row r="197" spans="1:24" s="177" customFormat="1" ht="14.4" x14ac:dyDescent="0.3">
      <c r="A197" s="195"/>
      <c r="B197" s="195"/>
      <c r="C197" s="400"/>
      <c r="D197" s="195"/>
      <c r="E197" s="219" t="s">
        <v>228</v>
      </c>
      <c r="F197" s="49"/>
      <c r="G197" s="223">
        <f>G193/G195</f>
        <v>0</v>
      </c>
      <c r="H197" s="223">
        <f t="shared" ref="H197:I197" si="8">H193/H195</f>
        <v>0</v>
      </c>
      <c r="I197" s="223">
        <f t="shared" si="8"/>
        <v>0</v>
      </c>
      <c r="J197" s="195"/>
      <c r="K197" s="195"/>
      <c r="L197" s="401"/>
      <c r="M197" s="195"/>
      <c r="N197" s="195"/>
      <c r="O197" s="195"/>
      <c r="P197" s="49"/>
      <c r="Q197" s="49"/>
      <c r="R197" s="49"/>
      <c r="S197" s="49"/>
      <c r="T197" s="49"/>
      <c r="U197" s="49"/>
      <c r="V197" s="49"/>
      <c r="W197" s="49"/>
      <c r="X197" s="49"/>
    </row>
    <row r="198" spans="1:24" s="177" customFormat="1" ht="14.4" x14ac:dyDescent="0.3">
      <c r="A198" s="195"/>
      <c r="B198" s="195"/>
      <c r="C198" s="400"/>
      <c r="D198" s="195"/>
      <c r="E198" s="195"/>
      <c r="F198" s="195"/>
      <c r="G198" s="195"/>
      <c r="H198" s="195"/>
      <c r="I198" s="195"/>
      <c r="J198" s="195"/>
      <c r="K198" s="195"/>
      <c r="L198" s="401"/>
      <c r="M198" s="195"/>
      <c r="N198" s="195"/>
      <c r="O198" s="195"/>
      <c r="P198" s="49"/>
      <c r="Q198" s="49"/>
      <c r="R198" s="49"/>
      <c r="S198" s="49"/>
      <c r="T198" s="49"/>
      <c r="U198" s="49"/>
      <c r="V198" s="49"/>
      <c r="W198" s="49"/>
      <c r="X198" s="49"/>
    </row>
    <row r="199" spans="1:24" s="177" customFormat="1" ht="14.4" x14ac:dyDescent="0.3">
      <c r="A199" s="195"/>
      <c r="B199" s="195"/>
      <c r="C199" s="400"/>
      <c r="D199" s="195"/>
      <c r="E199" s="195"/>
      <c r="F199" s="195"/>
      <c r="G199" s="195"/>
      <c r="H199" s="195"/>
      <c r="I199" s="195"/>
      <c r="J199" s="195"/>
      <c r="K199" s="195"/>
      <c r="L199" s="401"/>
      <c r="M199" s="195"/>
      <c r="N199" s="195"/>
      <c r="O199" s="195"/>
      <c r="P199" s="49"/>
      <c r="Q199" s="49"/>
      <c r="R199" s="49"/>
      <c r="S199" s="49"/>
      <c r="T199" s="49"/>
      <c r="U199" s="49"/>
      <c r="V199" s="49"/>
      <c r="W199" s="49"/>
      <c r="X199" s="49"/>
    </row>
    <row r="200" spans="1:24" s="177" customFormat="1" ht="15" thickBot="1" x14ac:dyDescent="0.35">
      <c r="A200" s="195"/>
      <c r="B200" s="195"/>
      <c r="C200" s="400"/>
      <c r="D200" s="195"/>
      <c r="E200" s="195"/>
      <c r="F200" s="195"/>
      <c r="G200" s="195"/>
      <c r="H200" s="195"/>
      <c r="I200" s="195"/>
      <c r="J200" s="195"/>
      <c r="K200" s="195"/>
      <c r="L200" s="401"/>
      <c r="M200" s="195"/>
      <c r="N200" s="195"/>
      <c r="O200" s="195"/>
      <c r="P200" s="49"/>
      <c r="Q200" s="49"/>
      <c r="R200" s="49"/>
      <c r="S200" s="49"/>
      <c r="T200" s="49"/>
      <c r="U200" s="49"/>
      <c r="V200" s="49"/>
      <c r="W200" s="49"/>
      <c r="X200" s="49"/>
    </row>
    <row r="201" spans="1:24" s="177" customFormat="1" ht="14.4" x14ac:dyDescent="0.3">
      <c r="A201" s="195"/>
      <c r="B201" s="195"/>
      <c r="C201" s="400"/>
      <c r="D201" s="195"/>
      <c r="E201" s="562" t="s">
        <v>273</v>
      </c>
      <c r="F201" s="195"/>
      <c r="G201" s="563" t="s">
        <v>274</v>
      </c>
      <c r="H201" s="564"/>
      <c r="I201" s="564"/>
      <c r="J201" s="564"/>
      <c r="K201" s="565"/>
      <c r="L201" s="401"/>
      <c r="M201" s="195"/>
      <c r="N201" s="195"/>
      <c r="O201" s="195"/>
      <c r="P201" s="49"/>
      <c r="Q201" s="49"/>
      <c r="R201" s="49"/>
      <c r="S201" s="49"/>
      <c r="T201" s="49"/>
      <c r="U201" s="49"/>
      <c r="V201" s="49"/>
      <c r="W201" s="49"/>
      <c r="X201" s="49"/>
    </row>
    <row r="202" spans="1:24" s="177" customFormat="1" ht="14.4" x14ac:dyDescent="0.3">
      <c r="A202" s="195"/>
      <c r="B202" s="195"/>
      <c r="C202" s="400"/>
      <c r="D202" s="195"/>
      <c r="E202" s="562"/>
      <c r="F202" s="195"/>
      <c r="G202" s="584" t="s">
        <v>275</v>
      </c>
      <c r="H202" s="585"/>
      <c r="I202" s="414" t="s">
        <v>258</v>
      </c>
      <c r="J202" s="585" t="s">
        <v>248</v>
      </c>
      <c r="K202" s="586"/>
      <c r="L202" s="401"/>
      <c r="M202" s="195"/>
      <c r="N202" s="195"/>
      <c r="O202" s="195"/>
      <c r="P202" s="49"/>
      <c r="Q202" s="49"/>
      <c r="R202" s="49"/>
      <c r="S202" s="49"/>
      <c r="T202" s="49"/>
      <c r="U202" s="49"/>
      <c r="V202" s="49"/>
      <c r="W202" s="49"/>
      <c r="X202" s="49"/>
    </row>
    <row r="203" spans="1:24" s="177" customFormat="1" ht="15" thickBot="1" x14ac:dyDescent="0.35">
      <c r="A203" s="195"/>
      <c r="B203" s="195"/>
      <c r="C203" s="400"/>
      <c r="D203" s="195"/>
      <c r="E203" s="562"/>
      <c r="F203" s="195"/>
      <c r="G203" s="583">
        <f>$G$20</f>
        <v>0</v>
      </c>
      <c r="H203" s="581"/>
      <c r="I203" s="424">
        <f>G19*60*0.25</f>
        <v>150</v>
      </c>
      <c r="J203" s="581">
        <f>($G$203*(2*FabricMapping!$AN$36))*$I$203</f>
        <v>0</v>
      </c>
      <c r="K203" s="582"/>
      <c r="L203" s="401"/>
      <c r="M203" s="195"/>
      <c r="N203" s="228"/>
      <c r="O203" s="195"/>
      <c r="P203" s="49"/>
      <c r="Q203" s="49"/>
      <c r="R203" s="49"/>
      <c r="S203" s="49"/>
      <c r="T203" s="49"/>
      <c r="U203" s="49"/>
      <c r="V203" s="49"/>
      <c r="W203" s="49"/>
      <c r="X203" s="49"/>
    </row>
    <row r="204" spans="1:24" s="177" customFormat="1" ht="14.4" x14ac:dyDescent="0.3">
      <c r="A204" s="195"/>
      <c r="B204" s="195"/>
      <c r="C204" s="400"/>
      <c r="D204" s="195"/>
      <c r="E204" s="195"/>
      <c r="F204" s="195"/>
      <c r="G204" s="195"/>
      <c r="H204" s="195"/>
      <c r="I204" s="195"/>
      <c r="J204" s="195"/>
      <c r="K204" s="195"/>
      <c r="L204" s="401"/>
      <c r="M204" s="195"/>
      <c r="N204" s="195"/>
      <c r="O204" s="195"/>
      <c r="P204" s="49"/>
      <c r="Q204" s="49"/>
      <c r="R204" s="49"/>
      <c r="S204" s="49"/>
      <c r="T204" s="49"/>
      <c r="U204" s="49"/>
      <c r="V204" s="49"/>
      <c r="W204" s="49"/>
      <c r="X204" s="49"/>
    </row>
    <row r="205" spans="1:24" s="177" customFormat="1" ht="14.4" x14ac:dyDescent="0.3">
      <c r="A205" s="195"/>
      <c r="B205" s="195"/>
      <c r="C205" s="400"/>
      <c r="D205" s="195"/>
      <c r="E205" s="195"/>
      <c r="F205" s="195"/>
      <c r="G205" s="195"/>
      <c r="H205" s="195"/>
      <c r="I205" s="195"/>
      <c r="J205" s="195"/>
      <c r="K205" s="195"/>
      <c r="L205" s="401"/>
      <c r="M205" s="195"/>
      <c r="N205" s="195"/>
      <c r="O205" s="195"/>
      <c r="P205" s="49"/>
      <c r="Q205" s="49"/>
      <c r="R205" s="49"/>
      <c r="S205" s="49"/>
      <c r="T205" s="49"/>
      <c r="U205" s="49"/>
      <c r="V205" s="49"/>
      <c r="W205" s="49"/>
      <c r="X205" s="49"/>
    </row>
    <row r="206" spans="1:24" s="177" customFormat="1" ht="18.75" customHeight="1" thickBot="1" x14ac:dyDescent="0.35">
      <c r="A206" s="195"/>
      <c r="B206" s="195"/>
      <c r="C206" s="409"/>
      <c r="D206" s="408"/>
      <c r="E206" s="408"/>
      <c r="F206" s="408"/>
      <c r="G206" s="408"/>
      <c r="H206" s="408"/>
      <c r="I206" s="408"/>
      <c r="J206" s="408"/>
      <c r="K206" s="408"/>
      <c r="L206" s="410"/>
      <c r="M206" s="195"/>
      <c r="N206" s="195"/>
      <c r="O206" s="195"/>
      <c r="P206" s="49"/>
      <c r="Q206" s="49"/>
      <c r="R206" s="49"/>
      <c r="S206" s="49"/>
      <c r="T206" s="49"/>
      <c r="U206" s="49"/>
      <c r="V206" s="49"/>
      <c r="W206" s="49"/>
      <c r="X206" s="49"/>
    </row>
    <row r="207" spans="1:24" s="177" customFormat="1" ht="14.4" x14ac:dyDescent="0.3">
      <c r="A207" s="195"/>
      <c r="B207" s="195"/>
      <c r="C207" s="195"/>
      <c r="D207" s="195"/>
      <c r="E207" s="195"/>
      <c r="F207" s="195"/>
      <c r="G207" s="195"/>
      <c r="H207" s="195"/>
      <c r="I207" s="195"/>
      <c r="J207" s="195"/>
      <c r="K207" s="195"/>
      <c r="L207" s="195"/>
      <c r="M207" s="195"/>
      <c r="N207" s="195"/>
      <c r="O207" s="195"/>
      <c r="P207" s="49"/>
      <c r="Q207" s="49"/>
      <c r="R207" s="49"/>
      <c r="S207" s="49"/>
      <c r="T207" s="49"/>
      <c r="U207" s="49"/>
      <c r="V207" s="49"/>
      <c r="W207" s="49"/>
      <c r="X207" s="49"/>
    </row>
    <row r="208" spans="1:24" s="177" customFormat="1" ht="14.4" x14ac:dyDescent="0.3">
      <c r="A208" s="195"/>
      <c r="B208" s="195"/>
      <c r="C208" s="195"/>
      <c r="D208" s="195"/>
      <c r="E208" s="195"/>
      <c r="F208" s="195"/>
      <c r="G208" s="195"/>
      <c r="H208" s="195"/>
      <c r="I208" s="195"/>
      <c r="J208" s="195"/>
      <c r="K208" s="195"/>
      <c r="L208" s="195"/>
      <c r="M208" s="195"/>
      <c r="N208" s="195"/>
      <c r="O208" s="195"/>
      <c r="P208" s="49"/>
      <c r="Q208" s="49"/>
      <c r="R208" s="49"/>
      <c r="S208" s="49"/>
      <c r="T208" s="49"/>
      <c r="U208" s="49"/>
      <c r="V208" s="49"/>
      <c r="W208" s="49"/>
      <c r="X208" s="49"/>
    </row>
    <row r="209" spans="1:24" s="177" customFormat="1" ht="15" thickBot="1" x14ac:dyDescent="0.35">
      <c r="A209" s="195"/>
      <c r="B209" s="195"/>
      <c r="C209" s="195"/>
      <c r="D209" s="195"/>
      <c r="E209" s="195"/>
      <c r="F209" s="195"/>
      <c r="G209" s="195"/>
      <c r="H209" s="195"/>
      <c r="I209" s="195"/>
      <c r="J209" s="195"/>
      <c r="K209" s="195"/>
      <c r="L209" s="195"/>
      <c r="M209" s="195"/>
      <c r="N209" s="195"/>
      <c r="O209" s="195"/>
      <c r="P209" s="49"/>
      <c r="Q209" s="49"/>
      <c r="R209" s="49"/>
      <c r="S209" s="49"/>
      <c r="T209" s="49"/>
      <c r="U209" s="49"/>
      <c r="V209" s="49"/>
      <c r="W209" s="49"/>
      <c r="X209" s="49"/>
    </row>
    <row r="210" spans="1:24" s="177" customFormat="1" ht="23.4" x14ac:dyDescent="0.45">
      <c r="A210" s="195"/>
      <c r="B210" s="195"/>
      <c r="C210" s="188" t="s">
        <v>276</v>
      </c>
      <c r="D210" s="398"/>
      <c r="E210" s="398"/>
      <c r="F210" s="398"/>
      <c r="G210" s="398"/>
      <c r="H210" s="398"/>
      <c r="I210" s="398"/>
      <c r="J210" s="398"/>
      <c r="K210" s="398"/>
      <c r="L210" s="399"/>
      <c r="M210" s="195"/>
      <c r="N210" s="195"/>
      <c r="O210" s="195"/>
      <c r="P210" s="49"/>
      <c r="Q210" s="49"/>
      <c r="R210" s="49"/>
      <c r="S210" s="49"/>
      <c r="T210" s="49"/>
      <c r="U210" s="49"/>
      <c r="V210" s="49"/>
      <c r="W210" s="49"/>
      <c r="X210" s="49"/>
    </row>
    <row r="211" spans="1:24" s="177" customFormat="1" ht="14.4" x14ac:dyDescent="0.3">
      <c r="A211" s="195"/>
      <c r="B211" s="195"/>
      <c r="C211" s="400"/>
      <c r="D211" s="195"/>
      <c r="E211" s="195"/>
      <c r="F211" s="195"/>
      <c r="G211" s="195"/>
      <c r="H211" s="195"/>
      <c r="I211" s="195"/>
      <c r="J211" s="195"/>
      <c r="K211" s="49"/>
      <c r="L211" s="401"/>
      <c r="M211" s="195"/>
      <c r="N211" s="195"/>
      <c r="O211" s="195"/>
      <c r="P211" s="49"/>
      <c r="Q211" s="49"/>
      <c r="R211" s="49"/>
      <c r="S211" s="49"/>
      <c r="T211" s="49"/>
      <c r="U211" s="49"/>
      <c r="V211" s="49"/>
      <c r="W211" s="49"/>
      <c r="X211" s="49"/>
    </row>
    <row r="212" spans="1:24" s="177" customFormat="1" ht="15" thickBot="1" x14ac:dyDescent="0.35">
      <c r="A212" s="195"/>
      <c r="B212" s="195"/>
      <c r="C212" s="400"/>
      <c r="D212" s="195"/>
      <c r="E212" s="195"/>
      <c r="F212" s="195"/>
      <c r="G212" s="195"/>
      <c r="H212" s="195"/>
      <c r="I212" s="195"/>
      <c r="J212" s="195"/>
      <c r="K212" s="195"/>
      <c r="L212" s="401"/>
      <c r="M212" s="195"/>
      <c r="N212" s="195"/>
      <c r="O212" s="195"/>
      <c r="P212" s="49"/>
      <c r="Q212" s="49"/>
      <c r="R212" s="49"/>
      <c r="S212" s="49"/>
      <c r="T212" s="49"/>
      <c r="U212" s="49"/>
      <c r="V212" s="49"/>
      <c r="W212" s="49"/>
      <c r="X212" s="49"/>
    </row>
    <row r="213" spans="1:24" s="177" customFormat="1" ht="28.8" x14ac:dyDescent="0.3">
      <c r="A213" s="195"/>
      <c r="B213" s="195"/>
      <c r="C213" s="400"/>
      <c r="D213" s="195"/>
      <c r="E213" s="195"/>
      <c r="F213" s="195"/>
      <c r="G213" s="216" t="s">
        <v>222</v>
      </c>
      <c r="H213" s="216" t="s">
        <v>223</v>
      </c>
      <c r="I213" s="216" t="s">
        <v>224</v>
      </c>
      <c r="J213" s="195"/>
      <c r="K213" s="195"/>
      <c r="L213" s="401"/>
      <c r="M213" s="253"/>
      <c r="N213" s="195"/>
      <c r="O213" s="195"/>
      <c r="P213" s="49"/>
      <c r="Q213" s="49"/>
      <c r="R213" s="49"/>
      <c r="S213" s="49"/>
      <c r="T213" s="49"/>
      <c r="U213" s="49"/>
      <c r="V213" s="49"/>
      <c r="W213" s="49"/>
      <c r="X213" s="49"/>
    </row>
    <row r="214" spans="1:24" s="177" customFormat="1" ht="14.4" x14ac:dyDescent="0.3">
      <c r="A214" s="195"/>
      <c r="B214" s="195"/>
      <c r="C214" s="400"/>
      <c r="D214" s="195"/>
      <c r="E214" s="217" t="s">
        <v>277</v>
      </c>
      <c r="F214" s="49"/>
      <c r="G214" s="218">
        <f>J227</f>
        <v>30720</v>
      </c>
      <c r="H214" s="218">
        <f>G214*$G$3</f>
        <v>153600</v>
      </c>
      <c r="I214" s="218">
        <f>H214*52/12</f>
        <v>665600</v>
      </c>
      <c r="J214" s="195"/>
      <c r="K214" s="195"/>
      <c r="L214" s="401"/>
      <c r="M214" s="253"/>
      <c r="N214" s="195"/>
      <c r="O214" s="195"/>
      <c r="P214" s="49"/>
      <c r="Q214" s="49"/>
      <c r="R214" s="49"/>
      <c r="S214" s="49"/>
      <c r="T214" s="49"/>
      <c r="U214" s="49"/>
      <c r="V214" s="49"/>
      <c r="W214" s="49"/>
      <c r="X214" s="49"/>
    </row>
    <row r="215" spans="1:24" s="177" customFormat="1" ht="14.4" x14ac:dyDescent="0.3">
      <c r="A215" s="195"/>
      <c r="B215" s="195"/>
      <c r="C215" s="400"/>
      <c r="D215" s="195"/>
      <c r="E215" s="219" t="s">
        <v>225</v>
      </c>
      <c r="F215" s="49"/>
      <c r="G215" s="220" t="str">
        <f>VLOOKUP(G214,FabricMapping!$C$11:$F$21,4,1)</f>
        <v>F32</v>
      </c>
      <c r="H215" s="220" t="str">
        <f>VLOOKUP(H214,FabricMapping!$D$11:$F$21,3,1)</f>
        <v>F16</v>
      </c>
      <c r="I215" s="220" t="str">
        <f>VLOOKUP(I214,FabricMapping!$E$11:$F$21,2,1)</f>
        <v>F16</v>
      </c>
      <c r="J215" s="195"/>
      <c r="K215" s="195"/>
      <c r="L215" s="401"/>
      <c r="M215" s="195"/>
      <c r="N215" s="195"/>
      <c r="O215" s="195"/>
      <c r="P215" s="49"/>
      <c r="Q215" s="49"/>
      <c r="R215" s="49"/>
      <c r="S215" s="49"/>
      <c r="T215" s="49"/>
      <c r="U215" s="49"/>
      <c r="V215" s="49"/>
      <c r="W215" s="49"/>
      <c r="X215" s="49"/>
    </row>
    <row r="216" spans="1:24" s="177" customFormat="1" ht="14.4" x14ac:dyDescent="0.3">
      <c r="A216" s="195"/>
      <c r="B216" s="195"/>
      <c r="C216" s="400"/>
      <c r="D216" s="195"/>
      <c r="E216" s="219" t="s">
        <v>226</v>
      </c>
      <c r="F216" s="49"/>
      <c r="G216" s="218">
        <f>VLOOKUP(G215,FabricMapping!$F$10:$J$21,3,0)</f>
        <v>46080</v>
      </c>
      <c r="H216" s="218">
        <f>VLOOKUP(H215,FabricMapping!$F$10:$J$21,4,0)</f>
        <v>161280</v>
      </c>
      <c r="I216" s="218">
        <f>VLOOKUP(I215,FabricMapping!$F$10:$J$21,5,0)</f>
        <v>698880</v>
      </c>
      <c r="J216" s="195"/>
      <c r="K216" s="195"/>
      <c r="L216" s="401"/>
      <c r="M216" s="195"/>
      <c r="N216" s="195"/>
      <c r="O216" s="195"/>
      <c r="P216" s="49"/>
      <c r="Q216" s="49"/>
      <c r="R216" s="49"/>
      <c r="S216" s="49"/>
      <c r="T216" s="49"/>
      <c r="U216" s="49"/>
      <c r="V216" s="49"/>
      <c r="W216" s="49"/>
      <c r="X216" s="49"/>
    </row>
    <row r="217" spans="1:24" s="177" customFormat="1" ht="14.4" hidden="1" x14ac:dyDescent="0.3">
      <c r="A217" s="195"/>
      <c r="B217" s="195"/>
      <c r="C217" s="400"/>
      <c r="D217" s="195"/>
      <c r="E217" s="219" t="s">
        <v>227</v>
      </c>
      <c r="F217" s="49"/>
      <c r="G217" s="222">
        <f>G216*Cost_Setup!$F$7/60</f>
        <v>138.23999999999998</v>
      </c>
      <c r="H217" s="222">
        <f>H216*Cost_Setup!$F$7/60</f>
        <v>483.84</v>
      </c>
      <c r="I217" s="222">
        <f>I216*Cost_Setup!$F$7/60</f>
        <v>2096.64</v>
      </c>
      <c r="J217" s="195"/>
      <c r="K217" s="195"/>
      <c r="L217" s="401"/>
      <c r="M217" s="195"/>
      <c r="N217" s="195"/>
      <c r="O217" s="195"/>
      <c r="P217" s="49"/>
      <c r="Q217" s="49"/>
      <c r="R217" s="49"/>
      <c r="S217" s="49"/>
      <c r="T217" s="49"/>
      <c r="U217" s="49"/>
      <c r="V217" s="49"/>
      <c r="W217" s="49"/>
      <c r="X217" s="49"/>
    </row>
    <row r="218" spans="1:24" s="177" customFormat="1" ht="14.4" x14ac:dyDescent="0.3">
      <c r="A218" s="195"/>
      <c r="B218" s="195"/>
      <c r="C218" s="400"/>
      <c r="D218" s="195"/>
      <c r="E218" s="219" t="s">
        <v>228</v>
      </c>
      <c r="F218" s="49"/>
      <c r="G218" s="223">
        <f>G214/G216</f>
        <v>0.66666666666666663</v>
      </c>
      <c r="H218" s="223">
        <f t="shared" ref="H218:I218" si="9">H214/H216</f>
        <v>0.95238095238095233</v>
      </c>
      <c r="I218" s="223">
        <f t="shared" si="9"/>
        <v>0.95238095238095233</v>
      </c>
      <c r="J218" s="195"/>
      <c r="K218" s="195"/>
      <c r="L218" s="401"/>
      <c r="M218" s="195"/>
      <c r="N218" s="195"/>
      <c r="O218" s="195"/>
      <c r="P218" s="49"/>
      <c r="Q218" s="49"/>
      <c r="R218" s="49"/>
      <c r="S218" s="49"/>
      <c r="T218" s="49"/>
      <c r="U218" s="49"/>
      <c r="V218" s="49"/>
      <c r="W218" s="49"/>
      <c r="X218" s="49"/>
    </row>
    <row r="219" spans="1:24" s="177" customFormat="1" ht="14.4" x14ac:dyDescent="0.3">
      <c r="A219" s="195"/>
      <c r="B219" s="195"/>
      <c r="C219" s="400"/>
      <c r="D219" s="195"/>
      <c r="E219" s="49"/>
      <c r="F219" s="49"/>
      <c r="G219" s="49"/>
      <c r="H219" s="49"/>
      <c r="I219" s="49"/>
      <c r="J219" s="195"/>
      <c r="K219" s="195"/>
      <c r="L219" s="401"/>
      <c r="M219" s="195"/>
      <c r="N219" s="195"/>
      <c r="O219" s="195"/>
      <c r="P219" s="49"/>
      <c r="Q219" s="49"/>
      <c r="R219" s="49"/>
      <c r="S219" s="49"/>
      <c r="T219" s="49"/>
      <c r="U219" s="49"/>
      <c r="V219" s="49"/>
      <c r="W219" s="49"/>
      <c r="X219" s="49"/>
    </row>
    <row r="220" spans="1:24" s="177" customFormat="1" ht="14.4" x14ac:dyDescent="0.3">
      <c r="A220" s="195"/>
      <c r="B220" s="195"/>
      <c r="C220" s="400"/>
      <c r="D220" s="195"/>
      <c r="E220" s="195"/>
      <c r="F220" s="49"/>
      <c r="G220" s="195"/>
      <c r="H220" s="49"/>
      <c r="I220" s="195"/>
      <c r="J220" s="49"/>
      <c r="K220" s="195"/>
      <c r="L220" s="401"/>
      <c r="M220" s="195"/>
      <c r="N220" s="195"/>
      <c r="O220" s="195"/>
      <c r="P220" s="49"/>
      <c r="Q220" s="49"/>
      <c r="R220" s="49"/>
      <c r="S220" s="49"/>
      <c r="T220" s="49"/>
      <c r="U220" s="49"/>
      <c r="V220" s="49"/>
      <c r="W220" s="49"/>
      <c r="X220" s="49"/>
    </row>
    <row r="221" spans="1:24" s="177" customFormat="1" ht="14.4" x14ac:dyDescent="0.3">
      <c r="A221" s="195"/>
      <c r="B221" s="195"/>
      <c r="C221" s="400"/>
      <c r="D221" s="195"/>
      <c r="E221" s="219" t="s">
        <v>225</v>
      </c>
      <c r="F221" s="49"/>
      <c r="G221" s="254" t="str">
        <f>G215</f>
        <v>F32</v>
      </c>
      <c r="H221" s="255">
        <f>VLOOKUP(G221,FabricMapping!$F$11:$L$21,6,0)</f>
        <v>4205</v>
      </c>
      <c r="I221" s="195"/>
      <c r="J221" s="195"/>
      <c r="K221" s="195"/>
      <c r="L221" s="401"/>
      <c r="M221" s="195"/>
      <c r="N221" s="195"/>
      <c r="O221" s="195"/>
      <c r="P221" s="49"/>
      <c r="Q221" s="49"/>
      <c r="R221" s="49"/>
      <c r="S221" s="49"/>
      <c r="T221" s="49"/>
      <c r="U221" s="49"/>
      <c r="V221" s="49"/>
      <c r="W221" s="49"/>
      <c r="X221" s="49"/>
    </row>
    <row r="222" spans="1:24" s="177" customFormat="1" ht="14.4" x14ac:dyDescent="0.3">
      <c r="A222" s="195"/>
      <c r="B222" s="195"/>
      <c r="C222" s="400"/>
      <c r="D222" s="195"/>
      <c r="E222" s="219" t="s">
        <v>278</v>
      </c>
      <c r="F222" s="49"/>
      <c r="G222" s="254">
        <f>IF(IF(_xlfn.NUMBERVALUE(RIGHT(G221,LEN(G221)-1))&lt;64,($G$12+$G$15)-$G$14,($G$12-$G$14))*FabricMapping!$J$78&lt;0,0,IF(_xlfn.NUMBERVALUE(RIGHT(G221,LEN(G221)-1))&lt;64,($G$12+$G$15)-$G$14,($G$12-$G$14))*FabricMapping!$J$78)</f>
        <v>0</v>
      </c>
      <c r="H222" s="255">
        <f>$G$222*Cost_Setup!$G$7</f>
        <v>0</v>
      </c>
      <c r="I222" s="204"/>
      <c r="J222" s="195"/>
      <c r="K222" s="195"/>
      <c r="L222" s="401"/>
      <c r="M222" s="195"/>
      <c r="N222" s="195"/>
      <c r="O222" s="195"/>
      <c r="P222" s="49"/>
      <c r="Q222" s="49"/>
      <c r="R222" s="49"/>
      <c r="S222" s="49"/>
      <c r="T222" s="49"/>
      <c r="U222" s="49"/>
      <c r="V222" s="49"/>
      <c r="W222" s="49"/>
      <c r="X222" s="49"/>
    </row>
    <row r="223" spans="1:24" s="177" customFormat="1" ht="14.4" x14ac:dyDescent="0.3">
      <c r="A223" s="195"/>
      <c r="B223" s="195"/>
      <c r="C223" s="400"/>
      <c r="D223" s="195"/>
      <c r="E223" s="195"/>
      <c r="F223" s="195"/>
      <c r="G223" s="195"/>
      <c r="H223" s="195"/>
      <c r="I223" s="195"/>
      <c r="J223" s="195"/>
      <c r="K223" s="195"/>
      <c r="L223" s="401"/>
      <c r="M223" s="195"/>
      <c r="N223" s="195"/>
      <c r="O223" s="195"/>
      <c r="P223" s="49"/>
      <c r="Q223" s="49"/>
      <c r="R223" s="49"/>
      <c r="S223" s="49"/>
      <c r="T223" s="49"/>
      <c r="U223" s="49"/>
      <c r="V223" s="49"/>
      <c r="W223" s="49"/>
      <c r="X223" s="49"/>
    </row>
    <row r="224" spans="1:24" s="177" customFormat="1" ht="15" thickBot="1" x14ac:dyDescent="0.35">
      <c r="A224" s="195"/>
      <c r="B224" s="195"/>
      <c r="C224" s="400"/>
      <c r="D224" s="195"/>
      <c r="E224" s="195"/>
      <c r="F224" s="195"/>
      <c r="G224" s="195"/>
      <c r="H224" s="195"/>
      <c r="I224" s="195"/>
      <c r="J224" s="195"/>
      <c r="K224" s="195"/>
      <c r="L224" s="401"/>
      <c r="M224" s="195"/>
      <c r="N224" s="195"/>
      <c r="O224" s="195"/>
      <c r="P224" s="49"/>
      <c r="Q224" s="49"/>
      <c r="R224" s="49"/>
      <c r="S224" s="49"/>
      <c r="T224" s="49"/>
      <c r="U224" s="49"/>
      <c r="V224" s="49"/>
      <c r="W224" s="49"/>
      <c r="X224" s="49"/>
    </row>
    <row r="225" spans="1:24" s="177" customFormat="1" ht="14.4" x14ac:dyDescent="0.3">
      <c r="A225" s="195"/>
      <c r="B225" s="195"/>
      <c r="C225" s="400"/>
      <c r="D225" s="195"/>
      <c r="E225" s="561" t="s">
        <v>279</v>
      </c>
      <c r="F225" s="195"/>
      <c r="G225" s="563" t="s">
        <v>277</v>
      </c>
      <c r="H225" s="564"/>
      <c r="I225" s="564"/>
      <c r="J225" s="564"/>
      <c r="K225" s="565"/>
      <c r="L225" s="401"/>
      <c r="M225" s="195"/>
      <c r="N225" s="195"/>
      <c r="O225" s="195"/>
      <c r="P225" s="49"/>
      <c r="Q225" s="49"/>
      <c r="R225" s="49"/>
      <c r="S225" s="49"/>
      <c r="T225" s="49"/>
      <c r="U225" s="49"/>
      <c r="V225" s="49"/>
      <c r="W225" s="49"/>
      <c r="X225" s="49"/>
    </row>
    <row r="226" spans="1:24" s="177" customFormat="1" ht="14.4" x14ac:dyDescent="0.3">
      <c r="A226" s="195"/>
      <c r="B226" s="195"/>
      <c r="C226" s="400"/>
      <c r="D226" s="195"/>
      <c r="E226" s="561"/>
      <c r="F226" s="195"/>
      <c r="G226" s="566" t="s">
        <v>280</v>
      </c>
      <c r="H226" s="567"/>
      <c r="I226" s="567"/>
      <c r="J226" s="567" t="s">
        <v>248</v>
      </c>
      <c r="K226" s="568"/>
      <c r="L226" s="401"/>
      <c r="M226" s="195"/>
      <c r="N226" s="195"/>
      <c r="O226" s="195"/>
      <c r="P226" s="49"/>
      <c r="Q226" s="49"/>
      <c r="R226" s="49"/>
      <c r="S226" s="49"/>
      <c r="T226" s="49"/>
      <c r="U226" s="49"/>
      <c r="V226" s="49"/>
      <c r="W226" s="49"/>
      <c r="X226" s="49"/>
    </row>
    <row r="227" spans="1:24" s="177" customFormat="1" ht="15" thickBot="1" x14ac:dyDescent="0.35">
      <c r="A227" s="195"/>
      <c r="B227" s="195"/>
      <c r="C227" s="400"/>
      <c r="D227" s="195"/>
      <c r="E227" s="561"/>
      <c r="F227" s="195"/>
      <c r="G227" s="569">
        <f>$G$19*60</f>
        <v>600</v>
      </c>
      <c r="H227" s="570"/>
      <c r="I227" s="570"/>
      <c r="J227" s="570">
        <f>G227*(FabricMapping!$AN$30*($G$15))</f>
        <v>30720</v>
      </c>
      <c r="K227" s="571"/>
      <c r="L227" s="401"/>
      <c r="M227" s="204"/>
      <c r="N227" s="228"/>
      <c r="O227" s="195"/>
      <c r="P227" s="49"/>
      <c r="Q227" s="49"/>
      <c r="R227" s="49"/>
      <c r="S227" s="49"/>
      <c r="T227" s="49"/>
      <c r="U227" s="49"/>
      <c r="V227" s="49"/>
      <c r="W227" s="49"/>
      <c r="X227" s="49"/>
    </row>
    <row r="228" spans="1:24" s="177" customFormat="1" ht="15" thickBot="1" x14ac:dyDescent="0.35">
      <c r="A228" s="195"/>
      <c r="B228" s="195"/>
      <c r="C228" s="400"/>
      <c r="D228" s="195"/>
      <c r="E228" s="195"/>
      <c r="F228" s="195"/>
      <c r="G228" s="195"/>
      <c r="H228" s="195"/>
      <c r="I228" s="195"/>
      <c r="J228" s="195"/>
      <c r="K228" s="195"/>
      <c r="L228" s="401"/>
      <c r="M228" s="253"/>
      <c r="N228" s="195"/>
      <c r="O228" s="195"/>
      <c r="P228" s="49"/>
      <c r="Q228" s="49"/>
      <c r="R228" s="49"/>
      <c r="S228" s="49"/>
      <c r="T228" s="49"/>
      <c r="U228" s="49"/>
      <c r="V228" s="49"/>
      <c r="W228" s="49"/>
      <c r="X228" s="49"/>
    </row>
    <row r="229" spans="1:24" s="177" customFormat="1" ht="28.8" x14ac:dyDescent="0.3">
      <c r="A229" s="195"/>
      <c r="B229" s="195"/>
      <c r="C229" s="400"/>
      <c r="D229" s="195"/>
      <c r="E229" s="195"/>
      <c r="F229" s="195"/>
      <c r="G229" s="216" t="s">
        <v>222</v>
      </c>
      <c r="H229" s="216" t="s">
        <v>223</v>
      </c>
      <c r="I229" s="216" t="s">
        <v>224</v>
      </c>
      <c r="J229" s="195"/>
      <c r="K229" s="195"/>
      <c r="L229" s="401"/>
      <c r="M229" s="256"/>
      <c r="N229" s="195"/>
      <c r="O229" s="195"/>
      <c r="P229" s="49"/>
      <c r="Q229" s="49"/>
      <c r="R229" s="49"/>
      <c r="S229" s="49"/>
      <c r="T229" s="49"/>
      <c r="U229" s="49"/>
      <c r="V229" s="49"/>
      <c r="W229" s="49"/>
      <c r="X229" s="49"/>
    </row>
    <row r="230" spans="1:24" s="177" customFormat="1" ht="14.4" x14ac:dyDescent="0.3">
      <c r="A230" s="195"/>
      <c r="B230" s="195"/>
      <c r="C230" s="400"/>
      <c r="D230" s="195"/>
      <c r="E230" s="217" t="s">
        <v>277</v>
      </c>
      <c r="F230" s="49"/>
      <c r="G230" s="218">
        <f>J243</f>
        <v>23040.000000000004</v>
      </c>
      <c r="H230" s="218">
        <f>G230*$G$3</f>
        <v>115200.00000000001</v>
      </c>
      <c r="I230" s="218">
        <f>H230*52/12</f>
        <v>499200.00000000006</v>
      </c>
      <c r="J230" s="195"/>
      <c r="K230" s="195"/>
      <c r="L230" s="401"/>
      <c r="M230" s="195"/>
      <c r="N230" s="195"/>
      <c r="O230" s="195"/>
      <c r="P230" s="49"/>
      <c r="Q230" s="49"/>
      <c r="R230" s="49"/>
      <c r="S230" s="49"/>
      <c r="T230" s="49"/>
      <c r="U230" s="49"/>
      <c r="V230" s="49"/>
      <c r="W230" s="49"/>
      <c r="X230" s="49"/>
    </row>
    <row r="231" spans="1:24" s="177" customFormat="1" ht="14.4" x14ac:dyDescent="0.3">
      <c r="A231" s="195"/>
      <c r="B231" s="195"/>
      <c r="C231" s="400"/>
      <c r="D231" s="195"/>
      <c r="E231" s="219" t="s">
        <v>225</v>
      </c>
      <c r="F231" s="49"/>
      <c r="G231" s="220" t="str">
        <f>VLOOKUP(G230,FabricMapping!$C$11:$F$21,4,1)</f>
        <v>F32</v>
      </c>
      <c r="H231" s="220" t="str">
        <f>VLOOKUP(H230,FabricMapping!$D$11:$F$21,3,1)</f>
        <v>F16</v>
      </c>
      <c r="I231" s="220" t="str">
        <f>VLOOKUP(I230,FabricMapping!$E$11:$F$21,2,1)</f>
        <v>F16</v>
      </c>
      <c r="J231" s="195"/>
      <c r="K231" s="195"/>
      <c r="L231" s="401"/>
      <c r="M231" s="195"/>
      <c r="N231" s="195"/>
      <c r="O231" s="195"/>
      <c r="P231" s="49"/>
      <c r="Q231" s="49"/>
      <c r="R231" s="49"/>
      <c r="S231" s="49"/>
      <c r="T231" s="49"/>
      <c r="U231" s="49"/>
      <c r="V231" s="49"/>
      <c r="W231" s="49"/>
      <c r="X231" s="49"/>
    </row>
    <row r="232" spans="1:24" s="177" customFormat="1" ht="14.4" x14ac:dyDescent="0.3">
      <c r="A232" s="195"/>
      <c r="B232" s="195"/>
      <c r="C232" s="400"/>
      <c r="D232" s="195"/>
      <c r="E232" s="219" t="s">
        <v>226</v>
      </c>
      <c r="F232" s="49"/>
      <c r="G232" s="218">
        <f>VLOOKUP(G231,FabricMapping!$F$10:$J$21,3,0)</f>
        <v>46080</v>
      </c>
      <c r="H232" s="218">
        <f>VLOOKUP(H231,FabricMapping!$F$10:$J$21,4,0)</f>
        <v>161280</v>
      </c>
      <c r="I232" s="218">
        <f>VLOOKUP(I231,FabricMapping!$F$10:$J$21,5,0)</f>
        <v>698880</v>
      </c>
      <c r="J232" s="195"/>
      <c r="K232" s="195"/>
      <c r="L232" s="401"/>
      <c r="M232" s="195"/>
      <c r="N232" s="195"/>
      <c r="O232" s="195"/>
      <c r="P232" s="49"/>
      <c r="Q232" s="49"/>
      <c r="R232" s="49"/>
      <c r="S232" s="49"/>
      <c r="T232" s="49"/>
      <c r="U232" s="49"/>
      <c r="V232" s="49"/>
      <c r="W232" s="49"/>
      <c r="X232" s="49"/>
    </row>
    <row r="233" spans="1:24" s="177" customFormat="1" ht="14.4" hidden="1" x14ac:dyDescent="0.3">
      <c r="A233" s="195"/>
      <c r="B233" s="195"/>
      <c r="C233" s="400"/>
      <c r="D233" s="195"/>
      <c r="E233" s="219" t="s">
        <v>227</v>
      </c>
      <c r="F233" s="49"/>
      <c r="G233" s="222">
        <f>G232*Cost_Setup!$F$7/60</f>
        <v>138.23999999999998</v>
      </c>
      <c r="H233" s="222">
        <f>H232*Cost_Setup!$F$7/60</f>
        <v>483.84</v>
      </c>
      <c r="I233" s="222">
        <f>I232*Cost_Setup!$F$7/60</f>
        <v>2096.64</v>
      </c>
      <c r="J233" s="195"/>
      <c r="K233" s="195"/>
      <c r="L233" s="401"/>
      <c r="M233" s="195"/>
      <c r="N233" s="195"/>
      <c r="O233" s="195"/>
      <c r="P233" s="49"/>
      <c r="Q233" s="49"/>
      <c r="R233" s="49"/>
      <c r="S233" s="49"/>
      <c r="T233" s="49"/>
      <c r="U233" s="49"/>
      <c r="V233" s="49"/>
      <c r="W233" s="49"/>
      <c r="X233" s="49"/>
    </row>
    <row r="234" spans="1:24" s="177" customFormat="1" ht="14.4" x14ac:dyDescent="0.3">
      <c r="A234" s="195"/>
      <c r="B234" s="195"/>
      <c r="C234" s="400"/>
      <c r="D234" s="195"/>
      <c r="E234" s="219" t="s">
        <v>228</v>
      </c>
      <c r="F234" s="49"/>
      <c r="G234" s="223">
        <f>G230/G232</f>
        <v>0.50000000000000011</v>
      </c>
      <c r="H234" s="223">
        <f t="shared" ref="H234:I234" si="10">H230/H232</f>
        <v>0.71428571428571441</v>
      </c>
      <c r="I234" s="223">
        <f t="shared" si="10"/>
        <v>0.71428571428571441</v>
      </c>
      <c r="J234" s="195"/>
      <c r="K234" s="195"/>
      <c r="L234" s="401"/>
      <c r="M234" s="195"/>
      <c r="N234" s="195"/>
      <c r="O234" s="195"/>
      <c r="P234" s="49"/>
      <c r="Q234" s="49"/>
      <c r="R234" s="49"/>
      <c r="S234" s="49"/>
      <c r="T234" s="49"/>
      <c r="U234" s="49"/>
      <c r="V234" s="49"/>
      <c r="W234" s="49"/>
      <c r="X234" s="49"/>
    </row>
    <row r="235" spans="1:24" s="177" customFormat="1" ht="14.4" x14ac:dyDescent="0.3">
      <c r="A235" s="195"/>
      <c r="B235" s="195"/>
      <c r="C235" s="400"/>
      <c r="D235" s="195"/>
      <c r="E235" s="49"/>
      <c r="F235" s="49"/>
      <c r="G235" s="49"/>
      <c r="H235" s="49"/>
      <c r="I235" s="49"/>
      <c r="J235" s="195"/>
      <c r="K235" s="195"/>
      <c r="L235" s="401"/>
      <c r="M235" s="195"/>
      <c r="N235" s="195"/>
      <c r="O235" s="195"/>
      <c r="P235" s="49"/>
      <c r="Q235" s="49"/>
      <c r="R235" s="49"/>
      <c r="S235" s="49"/>
      <c r="T235" s="49"/>
      <c r="U235" s="49"/>
      <c r="V235" s="49"/>
      <c r="W235" s="49"/>
      <c r="X235" s="49"/>
    </row>
    <row r="236" spans="1:24" s="177" customFormat="1" ht="14.4" x14ac:dyDescent="0.3">
      <c r="A236" s="195"/>
      <c r="B236" s="195"/>
      <c r="C236" s="400"/>
      <c r="D236" s="195"/>
      <c r="E236" s="195"/>
      <c r="F236" s="49"/>
      <c r="G236" s="195"/>
      <c r="H236" s="49"/>
      <c r="I236" s="195"/>
      <c r="J236" s="195"/>
      <c r="K236" s="195"/>
      <c r="L236" s="401"/>
      <c r="M236" s="195"/>
      <c r="N236" s="195"/>
      <c r="O236" s="195"/>
      <c r="P236" s="49"/>
      <c r="Q236" s="49"/>
      <c r="R236" s="49"/>
      <c r="S236" s="49"/>
      <c r="T236" s="49"/>
      <c r="U236" s="49"/>
      <c r="V236" s="49"/>
      <c r="W236" s="49"/>
      <c r="X236" s="49"/>
    </row>
    <row r="237" spans="1:24" s="177" customFormat="1" ht="14.4" x14ac:dyDescent="0.3">
      <c r="A237" s="195"/>
      <c r="B237" s="195"/>
      <c r="C237" s="400"/>
      <c r="D237" s="195"/>
      <c r="E237" s="219" t="s">
        <v>225</v>
      </c>
      <c r="F237" s="49"/>
      <c r="G237" s="254" t="str">
        <f>G231</f>
        <v>F32</v>
      </c>
      <c r="H237" s="255">
        <f>VLOOKUP(G237,FabricMapping!$F$11:$L$21,6,0)</f>
        <v>4205</v>
      </c>
      <c r="I237" s="195"/>
      <c r="J237" s="195"/>
      <c r="K237" s="195"/>
      <c r="L237" s="401"/>
      <c r="M237" s="195"/>
      <c r="N237" s="195"/>
      <c r="O237" s="195"/>
      <c r="P237" s="49"/>
      <c r="Q237" s="49"/>
      <c r="R237" s="49"/>
      <c r="S237" s="49"/>
      <c r="T237" s="49"/>
      <c r="U237" s="49"/>
      <c r="V237" s="49"/>
      <c r="W237" s="49"/>
      <c r="X237" s="49"/>
    </row>
    <row r="238" spans="1:24" s="177" customFormat="1" ht="8.25" customHeight="1" x14ac:dyDescent="0.3">
      <c r="A238" s="195"/>
      <c r="B238" s="195"/>
      <c r="C238" s="400"/>
      <c r="D238" s="195"/>
      <c r="E238" s="49"/>
      <c r="F238" s="49"/>
      <c r="G238" s="49"/>
      <c r="H238" s="49"/>
      <c r="I238" s="195"/>
      <c r="J238" s="195"/>
      <c r="K238" s="195"/>
      <c r="L238" s="401"/>
      <c r="M238" s="195"/>
      <c r="N238" s="195"/>
      <c r="O238" s="195"/>
      <c r="P238" s="49"/>
      <c r="Q238" s="49"/>
      <c r="R238" s="49"/>
      <c r="S238" s="49"/>
      <c r="T238" s="49"/>
      <c r="U238" s="49"/>
      <c r="V238" s="49"/>
      <c r="W238" s="49"/>
      <c r="X238" s="49"/>
    </row>
    <row r="239" spans="1:24" s="177" customFormat="1" ht="8.25" customHeight="1" x14ac:dyDescent="0.3">
      <c r="A239" s="195"/>
      <c r="B239" s="195"/>
      <c r="C239" s="400"/>
      <c r="D239" s="195"/>
      <c r="E239" s="195"/>
      <c r="F239" s="195"/>
      <c r="G239" s="195"/>
      <c r="H239" s="195"/>
      <c r="I239" s="195"/>
      <c r="J239" s="195"/>
      <c r="K239" s="195"/>
      <c r="L239" s="401"/>
      <c r="M239" s="195"/>
      <c r="N239" s="195"/>
      <c r="O239" s="195"/>
      <c r="P239" s="49"/>
      <c r="Q239" s="49"/>
      <c r="R239" s="49"/>
      <c r="S239" s="49"/>
      <c r="T239" s="49"/>
      <c r="U239" s="49"/>
      <c r="V239" s="49"/>
      <c r="W239" s="49"/>
      <c r="X239" s="49"/>
    </row>
    <row r="240" spans="1:24" s="177" customFormat="1" ht="8.25" customHeight="1" thickBot="1" x14ac:dyDescent="0.35">
      <c r="A240" s="195"/>
      <c r="B240" s="195"/>
      <c r="C240" s="400"/>
      <c r="D240" s="195"/>
      <c r="E240" s="195"/>
      <c r="F240" s="195"/>
      <c r="G240" s="195"/>
      <c r="H240" s="195"/>
      <c r="I240" s="195"/>
      <c r="J240" s="195"/>
      <c r="K240" s="195"/>
      <c r="L240" s="401"/>
      <c r="M240" s="195"/>
      <c r="N240" s="195"/>
      <c r="O240" s="195"/>
      <c r="P240" s="49"/>
      <c r="Q240" s="49"/>
      <c r="R240" s="49"/>
      <c r="S240" s="49"/>
      <c r="T240" s="49"/>
      <c r="U240" s="49"/>
      <c r="V240" s="49"/>
      <c r="W240" s="49"/>
      <c r="X240" s="49"/>
    </row>
    <row r="241" spans="1:24" s="177" customFormat="1" ht="14.4" x14ac:dyDescent="0.3">
      <c r="A241" s="195"/>
      <c r="B241" s="195"/>
      <c r="C241" s="400"/>
      <c r="D241" s="195"/>
      <c r="E241" s="561" t="s">
        <v>146</v>
      </c>
      <c r="F241" s="195"/>
      <c r="G241" s="563" t="s">
        <v>281</v>
      </c>
      <c r="H241" s="564"/>
      <c r="I241" s="564"/>
      <c r="J241" s="564"/>
      <c r="K241" s="565"/>
      <c r="L241" s="401"/>
      <c r="M241" s="195"/>
      <c r="N241" s="195"/>
      <c r="O241" s="195"/>
      <c r="P241" s="49"/>
      <c r="Q241" s="49"/>
      <c r="R241" s="49"/>
      <c r="S241" s="49"/>
      <c r="T241" s="49"/>
      <c r="U241" s="49"/>
      <c r="V241" s="49"/>
      <c r="W241" s="49"/>
      <c r="X241" s="49"/>
    </row>
    <row r="242" spans="1:24" s="177" customFormat="1" ht="14.4" x14ac:dyDescent="0.3">
      <c r="A242" s="195"/>
      <c r="B242" s="195"/>
      <c r="C242" s="400"/>
      <c r="D242" s="195"/>
      <c r="E242" s="561"/>
      <c r="F242" s="195"/>
      <c r="G242" s="566" t="s">
        <v>280</v>
      </c>
      <c r="H242" s="567"/>
      <c r="I242" s="567"/>
      <c r="J242" s="567" t="s">
        <v>248</v>
      </c>
      <c r="K242" s="568"/>
      <c r="L242" s="401"/>
      <c r="M242" s="195"/>
      <c r="N242" s="195"/>
      <c r="O242" s="195"/>
      <c r="P242" s="49"/>
      <c r="Q242" s="49"/>
      <c r="R242" s="49"/>
      <c r="S242" s="49"/>
      <c r="T242" s="49"/>
      <c r="U242" s="49"/>
      <c r="V242" s="49"/>
      <c r="W242" s="49"/>
      <c r="X242" s="49"/>
    </row>
    <row r="243" spans="1:24" s="177" customFormat="1" ht="15" thickBot="1" x14ac:dyDescent="0.35">
      <c r="A243" s="195"/>
      <c r="B243" s="195"/>
      <c r="C243" s="400"/>
      <c r="D243" s="195"/>
      <c r="E243" s="561"/>
      <c r="F243" s="195"/>
      <c r="G243" s="569">
        <f>$G$18*60</f>
        <v>1440</v>
      </c>
      <c r="H243" s="570"/>
      <c r="I243" s="570"/>
      <c r="J243" s="570">
        <f>G243*FabricMapping!$AN$42*$G$17</f>
        <v>23040.000000000004</v>
      </c>
      <c r="K243" s="571"/>
      <c r="L243" s="401"/>
      <c r="M243" s="195"/>
      <c r="N243" s="195"/>
      <c r="O243" s="195"/>
      <c r="P243" s="49"/>
      <c r="Q243" s="49"/>
      <c r="R243" s="49"/>
      <c r="S243" s="49"/>
      <c r="T243" s="49"/>
      <c r="U243" s="49"/>
      <c r="V243" s="49"/>
      <c r="W243" s="49"/>
      <c r="X243" s="49"/>
    </row>
    <row r="244" spans="1:24" s="177" customFormat="1" ht="14.4" x14ac:dyDescent="0.3">
      <c r="A244" s="195"/>
      <c r="B244" s="195"/>
      <c r="C244" s="400"/>
      <c r="D244" s="195"/>
      <c r="E244" s="195"/>
      <c r="F244" s="195"/>
      <c r="G244" s="195"/>
      <c r="H244" s="195"/>
      <c r="I244" s="195"/>
      <c r="J244" s="195"/>
      <c r="K244" s="195"/>
      <c r="L244" s="401"/>
      <c r="M244" s="195"/>
      <c r="N244" s="195"/>
      <c r="O244" s="195"/>
      <c r="P244" s="49"/>
      <c r="Q244" s="49"/>
      <c r="R244" s="49"/>
      <c r="S244" s="49"/>
      <c r="T244" s="49"/>
      <c r="U244" s="49"/>
      <c r="V244" s="49"/>
      <c r="W244" s="49"/>
      <c r="X244" s="49"/>
    </row>
    <row r="245" spans="1:24" s="177" customFormat="1" ht="14.4" x14ac:dyDescent="0.3">
      <c r="A245" s="195"/>
      <c r="B245" s="195"/>
      <c r="C245" s="400"/>
      <c r="D245" s="195"/>
      <c r="E245" s="195"/>
      <c r="F245" s="195"/>
      <c r="G245" s="195"/>
      <c r="H245" s="195"/>
      <c r="I245" s="195"/>
      <c r="J245" s="195"/>
      <c r="K245" s="195"/>
      <c r="L245" s="401"/>
      <c r="M245" s="195"/>
      <c r="N245" s="195"/>
      <c r="O245" s="195"/>
      <c r="P245" s="49"/>
      <c r="Q245" s="49"/>
      <c r="R245" s="49"/>
      <c r="S245" s="49"/>
      <c r="T245" s="49"/>
      <c r="U245" s="49"/>
      <c r="V245" s="49"/>
      <c r="W245" s="49"/>
      <c r="X245" s="49"/>
    </row>
    <row r="246" spans="1:24" s="177" customFormat="1" ht="14.4" x14ac:dyDescent="0.3">
      <c r="A246" s="195"/>
      <c r="B246" s="195"/>
      <c r="C246" s="400"/>
      <c r="D246" s="195"/>
      <c r="E246" s="195"/>
      <c r="F246" s="195"/>
      <c r="G246" s="195"/>
      <c r="H246" s="195"/>
      <c r="I246" s="195"/>
      <c r="J246" s="195"/>
      <c r="K246" s="195"/>
      <c r="L246" s="401"/>
      <c r="M246" s="195"/>
      <c r="N246" s="195"/>
      <c r="O246" s="195"/>
      <c r="P246" s="49"/>
      <c r="Q246" s="49"/>
      <c r="R246" s="49"/>
      <c r="S246" s="49"/>
      <c r="T246" s="49"/>
      <c r="U246" s="49"/>
      <c r="V246" s="49"/>
      <c r="W246" s="49"/>
      <c r="X246" s="49"/>
    </row>
    <row r="247" spans="1:24" s="177" customFormat="1" ht="15" thickBot="1" x14ac:dyDescent="0.35">
      <c r="A247" s="195"/>
      <c r="B247" s="195"/>
      <c r="C247" s="409"/>
      <c r="D247" s="408"/>
      <c r="E247" s="408"/>
      <c r="F247" s="408"/>
      <c r="G247" s="408"/>
      <c r="H247" s="408"/>
      <c r="I247" s="408"/>
      <c r="J247" s="408"/>
      <c r="K247" s="408"/>
      <c r="L247" s="410"/>
      <c r="M247" s="195"/>
      <c r="N247" s="195"/>
      <c r="O247" s="195"/>
      <c r="P247" s="49"/>
      <c r="Q247" s="49"/>
      <c r="R247" s="49"/>
      <c r="S247" s="49"/>
      <c r="T247" s="49"/>
      <c r="U247" s="49"/>
      <c r="V247" s="49"/>
      <c r="W247" s="49"/>
      <c r="X247" s="49"/>
    </row>
    <row r="248" spans="1:24" s="177" customFormat="1" ht="14.4" x14ac:dyDescent="0.3">
      <c r="A248" s="195"/>
      <c r="B248" s="49"/>
      <c r="C248" s="49"/>
      <c r="D248" s="49"/>
      <c r="E248" s="49"/>
      <c r="F248" s="49"/>
      <c r="G248" s="49"/>
      <c r="H248" s="49"/>
      <c r="I248" s="49"/>
      <c r="J248" s="49"/>
      <c r="K248" s="49"/>
      <c r="L248" s="49"/>
      <c r="M248" s="49"/>
      <c r="N248" s="195"/>
      <c r="O248" s="195"/>
      <c r="P248" s="49"/>
      <c r="Q248" s="49"/>
      <c r="R248" s="49"/>
      <c r="S248" s="49"/>
      <c r="T248" s="49"/>
      <c r="U248" s="49"/>
      <c r="V248" s="49"/>
      <c r="W248" s="49"/>
      <c r="X248" s="49"/>
    </row>
    <row r="249" spans="1:24" s="177" customFormat="1" ht="14.4" x14ac:dyDescent="0.3">
      <c r="A249" s="195"/>
      <c r="B249" s="49"/>
      <c r="C249" s="49"/>
      <c r="D249" s="49"/>
      <c r="E249" s="49"/>
      <c r="F249" s="49"/>
      <c r="G249" s="49"/>
      <c r="H249" s="49"/>
      <c r="I249" s="49"/>
      <c r="J249" s="49"/>
      <c r="K249" s="49"/>
      <c r="L249" s="49"/>
      <c r="M249" s="49"/>
      <c r="N249" s="195"/>
      <c r="O249" s="195"/>
      <c r="P249" s="49"/>
      <c r="Q249" s="49"/>
      <c r="R249" s="49"/>
      <c r="S249" s="49"/>
      <c r="T249" s="49"/>
      <c r="U249" s="49"/>
      <c r="V249" s="49"/>
      <c r="W249" s="49"/>
      <c r="X249" s="49"/>
    </row>
    <row r="250" spans="1:24" s="177" customFormat="1" ht="15" thickBot="1" x14ac:dyDescent="0.35">
      <c r="A250" s="195"/>
      <c r="B250" s="49"/>
      <c r="C250" s="49"/>
      <c r="D250" s="49"/>
      <c r="E250" s="49"/>
      <c r="F250" s="49"/>
      <c r="G250" s="49"/>
      <c r="H250" s="49"/>
      <c r="I250" s="49"/>
      <c r="J250" s="49"/>
      <c r="K250" s="49"/>
      <c r="L250" s="49"/>
      <c r="M250" s="49"/>
      <c r="N250" s="195"/>
      <c r="O250" s="195"/>
      <c r="P250" s="49"/>
      <c r="Q250" s="49"/>
      <c r="R250" s="49"/>
      <c r="S250" s="49"/>
      <c r="T250" s="49"/>
      <c r="U250" s="49"/>
      <c r="V250" s="49"/>
      <c r="W250" s="49"/>
      <c r="X250" s="49"/>
    </row>
    <row r="251" spans="1:24" s="177" customFormat="1" ht="23.4" x14ac:dyDescent="0.45">
      <c r="A251" s="195"/>
      <c r="B251" s="195"/>
      <c r="C251" s="188" t="s">
        <v>282</v>
      </c>
      <c r="D251" s="398"/>
      <c r="E251" s="398"/>
      <c r="F251" s="398"/>
      <c r="G251" s="398"/>
      <c r="H251" s="398"/>
      <c r="I251" s="398"/>
      <c r="J251" s="398"/>
      <c r="K251" s="398"/>
      <c r="L251" s="399"/>
      <c r="M251" s="195"/>
      <c r="N251" s="195"/>
      <c r="O251" s="195"/>
      <c r="P251" s="49"/>
      <c r="Q251" s="49"/>
      <c r="R251" s="49"/>
      <c r="S251" s="49"/>
      <c r="T251" s="49"/>
      <c r="U251" s="49"/>
      <c r="V251" s="49"/>
      <c r="W251" s="49"/>
      <c r="X251" s="49"/>
    </row>
    <row r="252" spans="1:24" s="177" customFormat="1" ht="14.4" x14ac:dyDescent="0.3">
      <c r="A252" s="195"/>
      <c r="B252" s="195"/>
      <c r="C252" s="400"/>
      <c r="D252" s="195"/>
      <c r="E252" s="195"/>
      <c r="F252" s="195"/>
      <c r="G252" s="195"/>
      <c r="H252" s="195"/>
      <c r="I252" s="195"/>
      <c r="J252" s="195"/>
      <c r="K252" s="195"/>
      <c r="L252" s="401"/>
      <c r="M252" s="195"/>
      <c r="N252" s="195"/>
      <c r="O252" s="195"/>
      <c r="P252" s="49"/>
      <c r="Q252" s="49"/>
      <c r="R252" s="49"/>
      <c r="S252" s="49"/>
      <c r="T252" s="49"/>
      <c r="U252" s="49"/>
      <c r="V252" s="49"/>
      <c r="W252" s="49"/>
      <c r="X252" s="49"/>
    </row>
    <row r="253" spans="1:24" s="177" customFormat="1" ht="15" thickBot="1" x14ac:dyDescent="0.35">
      <c r="A253" s="195"/>
      <c r="B253" s="195"/>
      <c r="C253" s="400"/>
      <c r="D253" s="195"/>
      <c r="E253" s="195"/>
      <c r="F253" s="195"/>
      <c r="G253" s="195"/>
      <c r="H253" s="195"/>
      <c r="I253" s="195"/>
      <c r="J253" s="195"/>
      <c r="K253" s="195"/>
      <c r="L253" s="401"/>
      <c r="M253" s="195"/>
      <c r="N253" s="195"/>
      <c r="O253" s="195"/>
      <c r="P253" s="49"/>
      <c r="Q253" s="49"/>
      <c r="R253" s="49"/>
      <c r="S253" s="49"/>
      <c r="T253" s="49"/>
      <c r="U253" s="49"/>
      <c r="V253" s="49"/>
      <c r="W253" s="49"/>
      <c r="X253" s="49"/>
    </row>
    <row r="254" spans="1:24" s="177" customFormat="1" ht="28.8" x14ac:dyDescent="0.3">
      <c r="A254" s="195"/>
      <c r="B254" s="195"/>
      <c r="C254" s="400"/>
      <c r="D254" s="195"/>
      <c r="E254" s="195"/>
      <c r="F254" s="195"/>
      <c r="G254" s="216" t="s">
        <v>222</v>
      </c>
      <c r="H254" s="216" t="s">
        <v>223</v>
      </c>
      <c r="I254" s="216" t="s">
        <v>224</v>
      </c>
      <c r="J254" s="195"/>
      <c r="K254" s="195"/>
      <c r="L254" s="401"/>
      <c r="M254" s="195"/>
      <c r="N254" s="195"/>
      <c r="O254" s="195"/>
      <c r="P254" s="49"/>
      <c r="Q254" s="49"/>
      <c r="R254" s="49"/>
      <c r="S254" s="49"/>
      <c r="T254" s="49"/>
      <c r="U254" s="49"/>
      <c r="V254" s="49"/>
      <c r="W254" s="49"/>
      <c r="X254" s="49"/>
    </row>
    <row r="255" spans="1:24" s="177" customFormat="1" ht="14.4" x14ac:dyDescent="0.3">
      <c r="A255" s="195"/>
      <c r="B255" s="195"/>
      <c r="C255" s="400"/>
      <c r="D255" s="195"/>
      <c r="E255" s="217" t="s">
        <v>283</v>
      </c>
      <c r="F255" s="49"/>
      <c r="G255" s="218">
        <f>J269+J276</f>
        <v>13200</v>
      </c>
      <c r="H255" s="218">
        <f>G255*$G$3</f>
        <v>66000</v>
      </c>
      <c r="I255" s="218">
        <f>H255*52/12</f>
        <v>286000</v>
      </c>
      <c r="J255" s="195"/>
      <c r="K255" s="195"/>
      <c r="L255" s="401"/>
      <c r="M255" s="195"/>
      <c r="N255" s="195"/>
      <c r="O255" s="195"/>
      <c r="P255" s="49"/>
      <c r="Q255" s="49"/>
      <c r="R255" s="49"/>
      <c r="S255" s="49"/>
      <c r="T255" s="49"/>
      <c r="U255" s="49"/>
      <c r="V255" s="49"/>
      <c r="W255" s="49"/>
      <c r="X255" s="49"/>
    </row>
    <row r="256" spans="1:24" s="177" customFormat="1" ht="14.4" x14ac:dyDescent="0.3">
      <c r="A256" s="195"/>
      <c r="B256" s="195"/>
      <c r="C256" s="400"/>
      <c r="D256" s="195"/>
      <c r="E256" s="219" t="s">
        <v>225</v>
      </c>
      <c r="F256" s="49"/>
      <c r="G256" s="220" t="str">
        <f>VLOOKUP(G255,FabricMapping!$C$11:$F$21,4,1)</f>
        <v>F16</v>
      </c>
      <c r="H256" s="220" t="str">
        <f>VLOOKUP(H255,FabricMapping!$D$11:$F$21,3,1)</f>
        <v>F8</v>
      </c>
      <c r="I256" s="220" t="str">
        <f>VLOOKUP(I255,FabricMapping!$E$11:$F$21,2,1)</f>
        <v>F8</v>
      </c>
      <c r="J256" s="195"/>
      <c r="K256" s="195"/>
      <c r="L256" s="401"/>
      <c r="M256" s="195"/>
      <c r="N256" s="195"/>
      <c r="O256" s="195"/>
      <c r="P256" s="49"/>
      <c r="Q256" s="49"/>
      <c r="R256" s="49"/>
      <c r="S256" s="49"/>
      <c r="T256" s="49"/>
      <c r="U256" s="49"/>
      <c r="V256" s="49"/>
      <c r="W256" s="49"/>
      <c r="X256" s="49"/>
    </row>
    <row r="257" spans="1:24" s="177" customFormat="1" ht="14.4" x14ac:dyDescent="0.3">
      <c r="A257" s="195"/>
      <c r="B257" s="195"/>
      <c r="C257" s="400"/>
      <c r="D257" s="195"/>
      <c r="E257" s="219" t="s">
        <v>226</v>
      </c>
      <c r="F257" s="49"/>
      <c r="G257" s="218">
        <f>VLOOKUP(G256,FabricMapping!$F$10:$J$21,3,0)</f>
        <v>23040</v>
      </c>
      <c r="H257" s="218">
        <f>VLOOKUP(H256,FabricMapping!$F$10:$J$21,4,0)</f>
        <v>80640</v>
      </c>
      <c r="I257" s="218">
        <f>VLOOKUP(I256,FabricMapping!$F$10:$J$21,5,0)</f>
        <v>349440</v>
      </c>
      <c r="J257" s="195"/>
      <c r="K257" s="195"/>
      <c r="L257" s="401"/>
      <c r="M257" s="195"/>
      <c r="N257" s="195"/>
      <c r="O257" s="195"/>
      <c r="P257" s="49"/>
      <c r="Q257" s="49"/>
      <c r="R257" s="49"/>
      <c r="S257" s="49"/>
      <c r="T257" s="49"/>
      <c r="U257" s="49"/>
      <c r="V257" s="49"/>
      <c r="W257" s="49"/>
      <c r="X257" s="49"/>
    </row>
    <row r="258" spans="1:24" s="177" customFormat="1" ht="18" hidden="1" x14ac:dyDescent="0.35">
      <c r="A258" s="195"/>
      <c r="B258" s="221"/>
      <c r="C258" s="400"/>
      <c r="D258" s="195"/>
      <c r="E258" s="219" t="s">
        <v>227</v>
      </c>
      <c r="F258" s="49"/>
      <c r="G258" s="222">
        <f>G257*Cost_Setup!$F$7/60</f>
        <v>69.11999999999999</v>
      </c>
      <c r="H258" s="222">
        <f>H257*Cost_Setup!$F$7/60</f>
        <v>241.92</v>
      </c>
      <c r="I258" s="222">
        <f>I257*Cost_Setup!$F$7/60</f>
        <v>1048.32</v>
      </c>
      <c r="J258" s="195"/>
      <c r="K258" s="195"/>
      <c r="L258" s="401"/>
      <c r="M258" s="195"/>
      <c r="N258" s="195"/>
      <c r="O258" s="195"/>
      <c r="P258" s="49"/>
      <c r="Q258" s="49"/>
      <c r="R258" s="49"/>
      <c r="S258" s="49"/>
      <c r="T258" s="49"/>
      <c r="U258" s="49"/>
      <c r="V258" s="49"/>
      <c r="W258" s="49"/>
      <c r="X258" s="49"/>
    </row>
    <row r="259" spans="1:24" s="177" customFormat="1" ht="14.4" x14ac:dyDescent="0.3">
      <c r="A259" s="195"/>
      <c r="B259" s="195"/>
      <c r="C259" s="400"/>
      <c r="D259" s="195"/>
      <c r="E259" s="219" t="s">
        <v>228</v>
      </c>
      <c r="F259" s="49"/>
      <c r="G259" s="223">
        <f>G255/G257</f>
        <v>0.57291666666666663</v>
      </c>
      <c r="H259" s="223">
        <f t="shared" ref="H259:I259" si="11">H255/H257</f>
        <v>0.81845238095238093</v>
      </c>
      <c r="I259" s="223">
        <f t="shared" si="11"/>
        <v>0.81845238095238093</v>
      </c>
      <c r="J259" s="195"/>
      <c r="K259" s="195"/>
      <c r="L259" s="401"/>
      <c r="M259" s="195"/>
      <c r="N259" s="195"/>
      <c r="O259" s="195"/>
      <c r="P259" s="49"/>
      <c r="Q259" s="49"/>
      <c r="R259" s="49"/>
      <c r="S259" s="49"/>
      <c r="T259" s="49"/>
      <c r="U259" s="49"/>
      <c r="V259" s="49"/>
      <c r="W259" s="49"/>
      <c r="X259" s="49"/>
    </row>
    <row r="260" spans="1:24" s="177" customFormat="1" ht="14.4" x14ac:dyDescent="0.3">
      <c r="A260" s="195"/>
      <c r="B260" s="195"/>
      <c r="C260" s="400"/>
      <c r="D260" s="195"/>
      <c r="E260" s="195"/>
      <c r="F260" s="49"/>
      <c r="G260" s="195"/>
      <c r="H260" s="49"/>
      <c r="I260" s="195"/>
      <c r="J260" s="195"/>
      <c r="K260" s="195"/>
      <c r="L260" s="401"/>
      <c r="M260" s="195"/>
      <c r="N260" s="195"/>
      <c r="O260" s="49"/>
      <c r="P260" s="49"/>
      <c r="Q260" s="49"/>
      <c r="R260" s="49"/>
      <c r="S260" s="49"/>
      <c r="T260" s="49"/>
      <c r="U260" s="49"/>
      <c r="V260" s="49"/>
      <c r="W260" s="49"/>
      <c r="X260" s="49"/>
    </row>
    <row r="261" spans="1:24" s="177" customFormat="1" ht="15" thickBot="1" x14ac:dyDescent="0.35">
      <c r="A261" s="195"/>
      <c r="B261" s="195"/>
      <c r="C261" s="400"/>
      <c r="D261" s="195"/>
      <c r="E261" s="195"/>
      <c r="F261" s="195"/>
      <c r="G261" s="195"/>
      <c r="H261" s="195"/>
      <c r="I261" s="195"/>
      <c r="J261" s="195"/>
      <c r="K261" s="195"/>
      <c r="L261" s="401"/>
      <c r="M261" s="195"/>
      <c r="N261" s="195"/>
      <c r="O261" s="49"/>
      <c r="P261" s="49"/>
      <c r="Q261" s="49"/>
      <c r="R261" s="49"/>
      <c r="S261" s="49"/>
      <c r="T261" s="49"/>
      <c r="U261" s="49"/>
      <c r="V261" s="49"/>
      <c r="W261" s="49"/>
      <c r="X261" s="49"/>
    </row>
    <row r="262" spans="1:24" s="177" customFormat="1" ht="14.4" x14ac:dyDescent="0.3">
      <c r="A262" s="195"/>
      <c r="B262" s="195"/>
      <c r="C262" s="400"/>
      <c r="D262" s="195"/>
      <c r="E262" s="561" t="s">
        <v>282</v>
      </c>
      <c r="F262" s="195"/>
      <c r="G262" s="563" t="s">
        <v>240</v>
      </c>
      <c r="H262" s="564"/>
      <c r="I262" s="564"/>
      <c r="J262" s="564"/>
      <c r="K262" s="565"/>
      <c r="L262" s="401"/>
      <c r="M262" s="195"/>
      <c r="N262" s="49"/>
      <c r="O262" s="49"/>
      <c r="P262" s="49"/>
      <c r="Q262" s="49"/>
      <c r="R262" s="49"/>
      <c r="S262" s="49"/>
      <c r="T262" s="49"/>
      <c r="U262" s="49"/>
      <c r="V262" s="49"/>
      <c r="W262" s="49"/>
      <c r="X262" s="49"/>
    </row>
    <row r="263" spans="1:24" s="177" customFormat="1" ht="14.4" x14ac:dyDescent="0.3">
      <c r="A263" s="195"/>
      <c r="B263" s="195"/>
      <c r="C263" s="400"/>
      <c r="D263" s="195"/>
      <c r="E263" s="561"/>
      <c r="F263" s="195"/>
      <c r="G263" s="202" t="s">
        <v>55</v>
      </c>
      <c r="H263" s="224" t="s">
        <v>241</v>
      </c>
      <c r="I263" s="224" t="s">
        <v>242</v>
      </c>
      <c r="J263" s="224" t="s">
        <v>243</v>
      </c>
      <c r="K263" s="198" t="s">
        <v>244</v>
      </c>
      <c r="L263" s="401"/>
      <c r="M263" s="195"/>
      <c r="N263" s="49"/>
      <c r="O263" s="195"/>
      <c r="P263" s="49"/>
      <c r="Q263" s="49"/>
      <c r="R263" s="49"/>
      <c r="S263" s="49"/>
      <c r="T263" s="49"/>
      <c r="U263" s="49"/>
      <c r="V263" s="49"/>
      <c r="W263" s="49"/>
      <c r="X263" s="49"/>
    </row>
    <row r="264" spans="1:24" s="177" customFormat="1" ht="15" thickBot="1" x14ac:dyDescent="0.35">
      <c r="A264" s="195"/>
      <c r="B264" s="195"/>
      <c r="C264" s="400"/>
      <c r="D264" s="195"/>
      <c r="E264" s="561"/>
      <c r="F264" s="195"/>
      <c r="G264" s="233" t="s">
        <v>56</v>
      </c>
      <c r="H264" s="226">
        <f>IFERROR(VLOOKUP(G264,FabricMapping!$F$39:$J$43,4,FALSE),0)</f>
        <v>4</v>
      </c>
      <c r="I264" s="226">
        <f>IFERROR(VLOOKUP(G264,FabricMapping!$F$39:$J$43,5,FALSE),0)</f>
        <v>60</v>
      </c>
      <c r="J264" s="226">
        <f>IFERROR((FabricMapping!$U$31*2)/$H$114,0)</f>
        <v>32</v>
      </c>
      <c r="K264" s="227">
        <f>J264*H264</f>
        <v>128</v>
      </c>
      <c r="L264" s="401"/>
      <c r="M264" s="195"/>
      <c r="N264" s="228"/>
      <c r="O264" s="195"/>
      <c r="P264" s="49"/>
      <c r="Q264" s="49"/>
      <c r="R264" s="49"/>
      <c r="S264" s="49"/>
      <c r="T264" s="49"/>
      <c r="U264" s="49"/>
      <c r="V264" s="49"/>
      <c r="W264" s="49"/>
      <c r="X264" s="49"/>
    </row>
    <row r="265" spans="1:24" s="177" customFormat="1" ht="14.4" x14ac:dyDescent="0.3">
      <c r="A265" s="195"/>
      <c r="B265" s="195"/>
      <c r="C265" s="400"/>
      <c r="D265" s="195"/>
      <c r="E265" s="561"/>
      <c r="F265" s="195"/>
      <c r="G265" s="195"/>
      <c r="H265" s="195"/>
      <c r="I265" s="195"/>
      <c r="J265" s="195"/>
      <c r="K265" s="195"/>
      <c r="L265" s="401"/>
      <c r="M265" s="195"/>
      <c r="N265" s="49"/>
      <c r="O265" s="195"/>
      <c r="P265" s="49"/>
      <c r="Q265" s="49"/>
      <c r="R265" s="49"/>
      <c r="S265" s="49"/>
      <c r="T265" s="49"/>
      <c r="U265" s="49"/>
      <c r="V265" s="49"/>
      <c r="W265" s="49"/>
      <c r="X265" s="49"/>
    </row>
    <row r="266" spans="1:24" s="177" customFormat="1" ht="15" thickBot="1" x14ac:dyDescent="0.35">
      <c r="A266" s="195"/>
      <c r="B266" s="195"/>
      <c r="C266" s="400"/>
      <c r="D266" s="195"/>
      <c r="E266" s="561"/>
      <c r="F266" s="195"/>
      <c r="G266" s="195"/>
      <c r="H266" s="195"/>
      <c r="I266" s="195"/>
      <c r="J266" s="195"/>
      <c r="K266" s="195"/>
      <c r="L266" s="401"/>
      <c r="M266" s="195"/>
      <c r="N266" s="49"/>
      <c r="O266" s="195"/>
      <c r="P266" s="49"/>
      <c r="Q266" s="49"/>
      <c r="R266" s="49"/>
      <c r="S266" s="49"/>
      <c r="T266" s="49"/>
      <c r="U266" s="49"/>
      <c r="V266" s="49"/>
      <c r="W266" s="49"/>
      <c r="X266" s="49"/>
    </row>
    <row r="267" spans="1:24" s="177" customFormat="1" ht="14.4" x14ac:dyDescent="0.3">
      <c r="A267" s="195"/>
      <c r="B267" s="195"/>
      <c r="C267" s="400"/>
      <c r="D267" s="195"/>
      <c r="E267" s="561"/>
      <c r="F267" s="195"/>
      <c r="G267" s="563" t="str">
        <f>"Model Scoring ("&amp;G264&amp;" Spark Cluster)"</f>
        <v>Model Scoring (Medium (8 vCore, 64 Mem) Spark Cluster)</v>
      </c>
      <c r="H267" s="564"/>
      <c r="I267" s="564"/>
      <c r="J267" s="564"/>
      <c r="K267" s="565"/>
      <c r="L267" s="401"/>
      <c r="M267" s="195"/>
      <c r="N267" s="49"/>
      <c r="O267" s="195"/>
      <c r="P267" s="49"/>
      <c r="Q267" s="49"/>
      <c r="R267" s="49"/>
      <c r="S267" s="49"/>
      <c r="T267" s="49"/>
      <c r="U267" s="49"/>
      <c r="V267" s="49"/>
      <c r="W267" s="49"/>
      <c r="X267" s="49"/>
    </row>
    <row r="268" spans="1:24" s="177" customFormat="1" ht="18.75" customHeight="1" x14ac:dyDescent="0.3">
      <c r="A268" s="195"/>
      <c r="B268" s="195"/>
      <c r="C268" s="400"/>
      <c r="D268" s="195"/>
      <c r="E268" s="561"/>
      <c r="F268" s="195"/>
      <c r="G268" s="202" t="s">
        <v>284</v>
      </c>
      <c r="H268" s="249" t="s">
        <v>285</v>
      </c>
      <c r="I268" s="224" t="s">
        <v>286</v>
      </c>
      <c r="J268" s="567" t="s">
        <v>248</v>
      </c>
      <c r="K268" s="568"/>
      <c r="L268" s="401"/>
      <c r="M268" s="195"/>
      <c r="N268" s="49"/>
      <c r="O268" s="195"/>
      <c r="P268" s="49"/>
      <c r="Q268" s="49"/>
      <c r="R268" s="49"/>
      <c r="S268" s="49"/>
      <c r="T268" s="49"/>
      <c r="U268" s="49"/>
      <c r="V268" s="49"/>
      <c r="W268" s="49"/>
      <c r="X268" s="49"/>
    </row>
    <row r="269" spans="1:24" s="177" customFormat="1" ht="15" thickBot="1" x14ac:dyDescent="0.35">
      <c r="A269" s="195"/>
      <c r="B269" s="195"/>
      <c r="C269" s="400"/>
      <c r="D269" s="195"/>
      <c r="E269" s="561"/>
      <c r="F269" s="195"/>
      <c r="G269" s="257">
        <f>G22</f>
        <v>15</v>
      </c>
      <c r="H269" s="238">
        <f>IFERROR($K$46/G269,0)</f>
        <v>12</v>
      </c>
      <c r="I269" s="238">
        <f>($G$19*60)*0.25</f>
        <v>150</v>
      </c>
      <c r="J269" s="570">
        <f>IFERROR(((ROUNDUP(H269/I264,0)+1)*H264)*I269,0)</f>
        <v>1200</v>
      </c>
      <c r="K269" s="571"/>
      <c r="L269" s="401"/>
      <c r="M269" s="195"/>
      <c r="N269" s="228"/>
      <c r="O269" s="195"/>
      <c r="P269" s="49"/>
      <c r="Q269" s="49"/>
      <c r="R269" s="49"/>
      <c r="S269" s="49"/>
      <c r="T269" s="49"/>
      <c r="U269" s="49"/>
      <c r="V269" s="49"/>
      <c r="W269" s="49"/>
      <c r="X269" s="49"/>
    </row>
    <row r="270" spans="1:24" s="177" customFormat="1" ht="15.6" x14ac:dyDescent="0.3">
      <c r="A270" s="195"/>
      <c r="B270" s="195"/>
      <c r="C270" s="400"/>
      <c r="D270" s="195"/>
      <c r="E270" s="561"/>
      <c r="F270" s="195"/>
      <c r="G270" s="240" t="s">
        <v>250</v>
      </c>
      <c r="H270" s="195"/>
      <c r="I270" s="195"/>
      <c r="J270" s="195"/>
      <c r="K270" s="195"/>
      <c r="L270" s="401"/>
      <c r="M270" s="195"/>
      <c r="N270" s="49"/>
      <c r="O270" s="195"/>
      <c r="P270" s="49"/>
      <c r="Q270" s="49"/>
      <c r="R270" s="49"/>
      <c r="S270" s="49"/>
      <c r="T270" s="49"/>
      <c r="U270" s="49"/>
      <c r="V270" s="49"/>
      <c r="W270" s="49"/>
      <c r="X270" s="49"/>
    </row>
    <row r="271" spans="1:24" s="177" customFormat="1" ht="14.4" x14ac:dyDescent="0.3">
      <c r="A271" s="195"/>
      <c r="B271" s="195"/>
      <c r="C271" s="400"/>
      <c r="D271" s="195"/>
      <c r="E271" s="195"/>
      <c r="F271" s="195"/>
      <c r="G271" s="195"/>
      <c r="H271" s="195"/>
      <c r="I271" s="195"/>
      <c r="J271" s="195"/>
      <c r="K271" s="195"/>
      <c r="L271" s="401"/>
      <c r="M271" s="195"/>
      <c r="N271" s="49"/>
      <c r="O271" s="195"/>
      <c r="P271" s="49"/>
      <c r="Q271" s="49"/>
      <c r="R271" s="49"/>
      <c r="S271" s="49"/>
      <c r="T271" s="49"/>
      <c r="U271" s="49"/>
      <c r="V271" s="49"/>
      <c r="W271" s="49"/>
      <c r="X271" s="49"/>
    </row>
    <row r="272" spans="1:24" s="177" customFormat="1" ht="14.4" x14ac:dyDescent="0.3">
      <c r="A272" s="195"/>
      <c r="B272" s="195"/>
      <c r="C272" s="400"/>
      <c r="D272" s="195"/>
      <c r="E272" s="195"/>
      <c r="F272" s="195"/>
      <c r="G272" s="195"/>
      <c r="H272" s="195"/>
      <c r="I272" s="195"/>
      <c r="J272" s="195"/>
      <c r="K272" s="195"/>
      <c r="L272" s="401"/>
      <c r="M272" s="195"/>
      <c r="N272" s="49"/>
      <c r="O272" s="195"/>
      <c r="P272" s="49"/>
      <c r="Q272" s="49"/>
      <c r="R272" s="49"/>
      <c r="S272" s="49"/>
      <c r="T272" s="49"/>
      <c r="U272" s="49"/>
      <c r="V272" s="49"/>
      <c r="W272" s="49"/>
      <c r="X272" s="49"/>
    </row>
    <row r="273" spans="1:24" s="177" customFormat="1" ht="15" thickBot="1" x14ac:dyDescent="0.35">
      <c r="A273" s="195"/>
      <c r="B273" s="195"/>
      <c r="C273" s="400"/>
      <c r="D273" s="195"/>
      <c r="E273" s="195"/>
      <c r="F273" s="195"/>
      <c r="G273" s="195"/>
      <c r="H273" s="195"/>
      <c r="I273" s="195"/>
      <c r="J273" s="195"/>
      <c r="K273" s="195"/>
      <c r="L273" s="401"/>
      <c r="M273" s="195"/>
      <c r="N273" s="49"/>
      <c r="O273" s="195"/>
      <c r="P273" s="49"/>
      <c r="Q273" s="49"/>
      <c r="R273" s="49"/>
      <c r="S273" s="49"/>
      <c r="T273" s="49"/>
      <c r="U273" s="49"/>
      <c r="V273" s="49"/>
      <c r="W273" s="49"/>
      <c r="X273" s="49"/>
    </row>
    <row r="274" spans="1:24" s="177" customFormat="1" ht="14.4" x14ac:dyDescent="0.3">
      <c r="A274" s="195"/>
      <c r="B274" s="195"/>
      <c r="C274" s="400"/>
      <c r="D274" s="195"/>
      <c r="E274" s="561" t="s">
        <v>287</v>
      </c>
      <c r="F274" s="195"/>
      <c r="G274" s="563" t="str">
        <f>"Exploratory Data Science ("&amp;G264&amp;" Spark Cluster)"</f>
        <v>Exploratory Data Science (Medium (8 vCore, 64 Mem) Spark Cluster)</v>
      </c>
      <c r="H274" s="564"/>
      <c r="I274" s="564"/>
      <c r="J274" s="564"/>
      <c r="K274" s="565"/>
      <c r="L274" s="401"/>
      <c r="M274" s="195"/>
      <c r="N274" s="49"/>
      <c r="O274" s="195"/>
      <c r="P274" s="49"/>
      <c r="Q274" s="49"/>
      <c r="R274" s="49"/>
      <c r="S274" s="49"/>
      <c r="T274" s="49"/>
      <c r="U274" s="49"/>
      <c r="V274" s="49"/>
      <c r="W274" s="49"/>
      <c r="X274" s="49"/>
    </row>
    <row r="275" spans="1:24" s="177" customFormat="1" ht="18.75" customHeight="1" x14ac:dyDescent="0.3">
      <c r="A275" s="195"/>
      <c r="B275" s="195"/>
      <c r="C275" s="400"/>
      <c r="D275" s="195"/>
      <c r="E275" s="561"/>
      <c r="F275" s="195"/>
      <c r="G275" s="202" t="s">
        <v>288</v>
      </c>
      <c r="H275" s="567" t="s">
        <v>286</v>
      </c>
      <c r="I275" s="567"/>
      <c r="J275" s="567" t="s">
        <v>248</v>
      </c>
      <c r="K275" s="568"/>
      <c r="L275" s="401"/>
      <c r="M275" s="195"/>
      <c r="N275" s="49"/>
      <c r="O275" s="195"/>
      <c r="P275" s="49"/>
      <c r="Q275" s="49"/>
      <c r="R275" s="49"/>
      <c r="S275" s="49"/>
      <c r="T275" s="49"/>
      <c r="U275" s="49"/>
      <c r="V275" s="49"/>
      <c r="W275" s="49"/>
      <c r="X275" s="49"/>
    </row>
    <row r="276" spans="1:24" s="177" customFormat="1" ht="15" thickBot="1" x14ac:dyDescent="0.35">
      <c r="A276" s="195"/>
      <c r="B276" s="195"/>
      <c r="C276" s="400"/>
      <c r="D276" s="195"/>
      <c r="E276" s="561"/>
      <c r="F276" s="195"/>
      <c r="G276" s="257">
        <f>G23</f>
        <v>10</v>
      </c>
      <c r="H276" s="599">
        <f>($G$19*60)/2</f>
        <v>300</v>
      </c>
      <c r="I276" s="599"/>
      <c r="J276" s="570">
        <f>(G276*H264)*H276</f>
        <v>12000</v>
      </c>
      <c r="K276" s="571"/>
      <c r="L276" s="401"/>
      <c r="M276" s="195"/>
      <c r="N276" s="228"/>
      <c r="O276" s="195"/>
      <c r="P276" s="49"/>
      <c r="Q276" s="49"/>
      <c r="R276" s="49"/>
      <c r="S276" s="49"/>
      <c r="T276" s="49"/>
      <c r="U276" s="49"/>
      <c r="V276" s="49"/>
      <c r="W276" s="49"/>
      <c r="X276" s="49"/>
    </row>
    <row r="277" spans="1:24" s="177" customFormat="1" ht="15" thickBot="1" x14ac:dyDescent="0.35">
      <c r="A277" s="195"/>
      <c r="B277" s="195"/>
      <c r="C277" s="409"/>
      <c r="D277" s="408"/>
      <c r="E277" s="408"/>
      <c r="F277" s="408"/>
      <c r="G277" s="408"/>
      <c r="H277" s="408"/>
      <c r="I277" s="408"/>
      <c r="J277" s="408"/>
      <c r="K277" s="408"/>
      <c r="L277" s="410"/>
      <c r="M277" s="195"/>
      <c r="N277" s="49"/>
      <c r="O277" s="195"/>
      <c r="P277" s="49"/>
      <c r="Q277" s="49"/>
      <c r="R277" s="49"/>
      <c r="S277" s="49"/>
      <c r="T277" s="49"/>
      <c r="U277" s="49"/>
      <c r="V277" s="49"/>
      <c r="W277" s="49"/>
      <c r="X277" s="49"/>
    </row>
    <row r="278" spans="1:24" s="177" customFormat="1" ht="14.4" x14ac:dyDescent="0.3">
      <c r="A278" s="195"/>
      <c r="B278" s="195"/>
      <c r="C278" s="195"/>
      <c r="D278" s="195"/>
      <c r="E278" s="195"/>
      <c r="F278" s="195"/>
      <c r="G278" s="195"/>
      <c r="H278" s="195"/>
      <c r="I278" s="195"/>
      <c r="J278" s="195"/>
      <c r="K278" s="195"/>
      <c r="L278" s="195"/>
      <c r="M278" s="195"/>
      <c r="N278" s="49"/>
      <c r="O278" s="195"/>
      <c r="P278" s="49"/>
      <c r="Q278" s="49"/>
      <c r="R278" s="49"/>
      <c r="S278" s="49"/>
      <c r="T278" s="49"/>
      <c r="U278" s="49"/>
      <c r="V278" s="49"/>
      <c r="W278" s="49"/>
      <c r="X278" s="49"/>
    </row>
    <row r="279" spans="1:24" s="177" customFormat="1" ht="14.4" x14ac:dyDescent="0.3">
      <c r="A279" s="195"/>
      <c r="B279" s="195"/>
      <c r="C279" s="195"/>
      <c r="D279" s="195"/>
      <c r="E279" s="195"/>
      <c r="F279" s="195"/>
      <c r="G279" s="195"/>
      <c r="H279" s="195"/>
      <c r="I279" s="195"/>
      <c r="J279" s="195"/>
      <c r="K279" s="195"/>
      <c r="L279" s="195"/>
      <c r="M279" s="195"/>
      <c r="N279" s="195"/>
      <c r="O279" s="195"/>
      <c r="P279" s="195"/>
      <c r="Q279" s="195"/>
      <c r="R279" s="195"/>
      <c r="S279" s="195"/>
      <c r="T279" s="195"/>
      <c r="U279" s="195"/>
      <c r="V279" s="195"/>
      <c r="W279" s="195"/>
      <c r="X279" s="195"/>
    </row>
    <row r="280" spans="1:24" s="177" customFormat="1" ht="14.4" x14ac:dyDescent="0.3">
      <c r="A280" s="195"/>
      <c r="B280" s="195"/>
      <c r="C280" s="195"/>
      <c r="D280" s="195"/>
      <c r="E280" s="195"/>
      <c r="F280" s="195"/>
      <c r="G280" s="195"/>
      <c r="H280" s="195"/>
      <c r="I280" s="195"/>
      <c r="J280" s="195"/>
      <c r="K280" s="195"/>
      <c r="L280" s="195"/>
      <c r="M280" s="195"/>
      <c r="N280" s="195"/>
      <c r="O280" s="195"/>
      <c r="P280" s="195"/>
      <c r="Q280" s="195"/>
      <c r="R280" s="195"/>
      <c r="S280" s="195"/>
      <c r="T280" s="195"/>
      <c r="U280" s="195"/>
      <c r="V280" s="195"/>
      <c r="W280" s="195"/>
      <c r="X280" s="195"/>
    </row>
    <row r="281" spans="1:24" s="177" customFormat="1" ht="14.4" x14ac:dyDescent="0.3">
      <c r="A281" s="195"/>
      <c r="B281" s="195"/>
      <c r="C281" s="195"/>
      <c r="D281" s="195"/>
      <c r="E281" s="195"/>
      <c r="F281" s="195"/>
      <c r="G281" s="195"/>
      <c r="H281" s="195"/>
      <c r="I281" s="195"/>
      <c r="J281" s="195"/>
      <c r="K281" s="195"/>
      <c r="L281" s="195"/>
      <c r="M281" s="195"/>
      <c r="N281" s="195"/>
      <c r="O281" s="195"/>
      <c r="P281" s="195"/>
      <c r="Q281" s="195"/>
      <c r="R281" s="195"/>
      <c r="S281" s="195"/>
      <c r="T281" s="195"/>
      <c r="U281" s="195"/>
      <c r="V281" s="195"/>
      <c r="W281" s="195"/>
      <c r="X281" s="195"/>
    </row>
    <row r="282" spans="1:24" s="177" customFormat="1" ht="15" thickBot="1" x14ac:dyDescent="0.35">
      <c r="A282" s="195"/>
      <c r="B282" s="195"/>
      <c r="C282" s="195"/>
      <c r="D282" s="195"/>
      <c r="E282" s="195"/>
      <c r="F282" s="195"/>
      <c r="G282" s="195"/>
      <c r="H282" s="195"/>
      <c r="I282" s="195"/>
      <c r="J282" s="195"/>
      <c r="K282" s="195"/>
      <c r="L282" s="195"/>
      <c r="M282" s="195"/>
      <c r="N282" s="195"/>
      <c r="O282" s="195"/>
      <c r="P282" s="195"/>
      <c r="Q282" s="195"/>
      <c r="R282" s="195"/>
      <c r="S282" s="195"/>
      <c r="T282" s="195"/>
      <c r="U282" s="195"/>
      <c r="V282" s="195"/>
      <c r="W282" s="195"/>
      <c r="X282" s="195"/>
    </row>
    <row r="283" spans="1:24" s="177" customFormat="1" ht="23.4" x14ac:dyDescent="0.45">
      <c r="A283" s="195"/>
      <c r="B283" s="195"/>
      <c r="C283" s="188" t="s">
        <v>289</v>
      </c>
      <c r="D283" s="398"/>
      <c r="E283" s="398"/>
      <c r="F283" s="398"/>
      <c r="G283" s="398"/>
      <c r="H283" s="398"/>
      <c r="I283" s="398"/>
      <c r="J283" s="398"/>
      <c r="K283" s="398"/>
      <c r="L283" s="399"/>
      <c r="M283" s="195"/>
      <c r="N283" s="195"/>
      <c r="O283" s="195"/>
      <c r="P283" s="49"/>
      <c r="Q283" s="49"/>
      <c r="R283" s="49"/>
      <c r="S283" s="49"/>
      <c r="T283" s="49"/>
      <c r="U283" s="49"/>
      <c r="V283" s="49"/>
      <c r="W283" s="49"/>
      <c r="X283" s="49"/>
    </row>
    <row r="284" spans="1:24" s="177" customFormat="1" ht="14.4" x14ac:dyDescent="0.3">
      <c r="A284" s="195"/>
      <c r="B284" s="195"/>
      <c r="C284" s="400"/>
      <c r="D284" s="195"/>
      <c r="E284" s="195"/>
      <c r="F284" s="195"/>
      <c r="G284" s="195"/>
      <c r="H284" s="195"/>
      <c r="I284" s="195"/>
      <c r="J284" s="195"/>
      <c r="K284" s="195"/>
      <c r="L284" s="401"/>
      <c r="M284" s="195"/>
      <c r="N284" s="195"/>
      <c r="O284" s="195"/>
      <c r="P284" s="49"/>
      <c r="Q284" s="49"/>
      <c r="R284" s="49"/>
      <c r="S284" s="49"/>
      <c r="T284" s="49"/>
      <c r="U284" s="49"/>
      <c r="V284" s="49"/>
      <c r="W284" s="49"/>
      <c r="X284" s="49"/>
    </row>
    <row r="285" spans="1:24" s="177" customFormat="1" ht="15" thickBot="1" x14ac:dyDescent="0.35">
      <c r="A285" s="195"/>
      <c r="B285" s="195"/>
      <c r="C285" s="400"/>
      <c r="D285" s="195"/>
      <c r="E285" s="195"/>
      <c r="F285" s="195"/>
      <c r="G285" s="195"/>
      <c r="H285" s="195"/>
      <c r="I285" s="195"/>
      <c r="J285" s="195"/>
      <c r="K285" s="195"/>
      <c r="L285" s="401"/>
      <c r="M285" s="195"/>
      <c r="N285" s="195"/>
      <c r="O285" s="195"/>
      <c r="P285" s="49"/>
      <c r="Q285" s="49"/>
      <c r="R285" s="49"/>
      <c r="S285" s="49"/>
      <c r="T285" s="49"/>
      <c r="U285" s="49"/>
      <c r="V285" s="49"/>
      <c r="W285" s="49"/>
      <c r="X285" s="49"/>
    </row>
    <row r="286" spans="1:24" s="177" customFormat="1" ht="28.8" x14ac:dyDescent="0.3">
      <c r="A286" s="195"/>
      <c r="B286" s="195"/>
      <c r="C286" s="400"/>
      <c r="D286" s="195"/>
      <c r="E286" s="195"/>
      <c r="F286" s="195"/>
      <c r="G286" s="216" t="s">
        <v>222</v>
      </c>
      <c r="H286" s="216" t="s">
        <v>223</v>
      </c>
      <c r="I286" s="216" t="s">
        <v>224</v>
      </c>
      <c r="J286" s="195"/>
      <c r="K286" s="195"/>
      <c r="L286" s="401"/>
      <c r="M286" s="195"/>
      <c r="N286" s="195"/>
      <c r="O286" s="195"/>
      <c r="P286" s="49"/>
      <c r="Q286" s="49"/>
      <c r="R286" s="49"/>
      <c r="S286" s="49"/>
      <c r="T286" s="49"/>
      <c r="U286" s="49"/>
      <c r="V286" s="49"/>
      <c r="W286" s="49"/>
      <c r="X286" s="49"/>
    </row>
    <row r="287" spans="1:24" s="177" customFormat="1" ht="14.4" x14ac:dyDescent="0.3">
      <c r="A287" s="195"/>
      <c r="B287" s="195"/>
      <c r="C287" s="400"/>
      <c r="D287" s="195"/>
      <c r="E287" s="217" t="s">
        <v>290</v>
      </c>
      <c r="F287" s="49"/>
      <c r="G287" s="218">
        <f>K299+K311+K317</f>
        <v>0</v>
      </c>
      <c r="H287" s="218">
        <f>G287*7</f>
        <v>0</v>
      </c>
      <c r="I287" s="218">
        <f>H287*52/12</f>
        <v>0</v>
      </c>
      <c r="J287" s="195"/>
      <c r="K287" s="195"/>
      <c r="L287" s="401"/>
      <c r="M287" s="195"/>
      <c r="N287" s="195"/>
      <c r="O287" s="195"/>
      <c r="P287" s="49"/>
      <c r="Q287" s="49"/>
      <c r="R287" s="49"/>
      <c r="S287" s="49"/>
      <c r="T287" s="49"/>
      <c r="U287" s="49"/>
      <c r="V287" s="49"/>
      <c r="W287" s="49"/>
      <c r="X287" s="49"/>
    </row>
    <row r="288" spans="1:24" s="177" customFormat="1" ht="14.4" x14ac:dyDescent="0.3">
      <c r="A288" s="195"/>
      <c r="B288" s="195"/>
      <c r="C288" s="400"/>
      <c r="D288" s="195"/>
      <c r="E288" s="219" t="s">
        <v>225</v>
      </c>
      <c r="F288" s="49"/>
      <c r="G288" s="220" t="str">
        <f>VLOOKUP(G287,FabricMapping!$C$11:$F$21,4,1)</f>
        <v>F2</v>
      </c>
      <c r="H288" s="220" t="str">
        <f>VLOOKUP(H287,FabricMapping!$D$11:$F$21,3,1)</f>
        <v>F2</v>
      </c>
      <c r="I288" s="220" t="str">
        <f>VLOOKUP(I287,FabricMapping!$E$11:$F$21,2,1)</f>
        <v>F2</v>
      </c>
      <c r="J288" s="195"/>
      <c r="K288" s="195"/>
      <c r="L288" s="401"/>
      <c r="M288" s="195"/>
      <c r="N288" s="195"/>
      <c r="O288" s="195"/>
      <c r="P288" s="49"/>
      <c r="Q288" s="49"/>
      <c r="R288" s="49"/>
      <c r="S288" s="49"/>
      <c r="T288" s="49"/>
      <c r="U288" s="49"/>
      <c r="V288" s="49"/>
      <c r="W288" s="49"/>
      <c r="X288" s="49"/>
    </row>
    <row r="289" spans="2:24" s="177" customFormat="1" ht="14.4" x14ac:dyDescent="0.3">
      <c r="B289" s="195"/>
      <c r="C289" s="400"/>
      <c r="D289" s="195"/>
      <c r="E289" s="219" t="s">
        <v>226</v>
      </c>
      <c r="F289" s="49"/>
      <c r="G289" s="218">
        <f>VLOOKUP(G288,FabricMapping!$F$10:$J$21,3,0)</f>
        <v>2880</v>
      </c>
      <c r="H289" s="218">
        <f>VLOOKUP(H288,FabricMapping!$F$10:$J$21,4,0)</f>
        <v>20160</v>
      </c>
      <c r="I289" s="218">
        <f>VLOOKUP(I288,FabricMapping!$F$10:$J$21,5,0)</f>
        <v>87360</v>
      </c>
      <c r="J289" s="195"/>
      <c r="K289" s="195"/>
      <c r="L289" s="401"/>
      <c r="M289" s="195"/>
      <c r="N289" s="195"/>
      <c r="O289" s="195"/>
      <c r="P289" s="49"/>
      <c r="Q289" s="49"/>
      <c r="R289" s="49"/>
      <c r="S289" s="49"/>
      <c r="T289" s="49"/>
      <c r="U289" s="49"/>
      <c r="V289" s="49"/>
      <c r="W289" s="49"/>
      <c r="X289" s="49"/>
    </row>
    <row r="290" spans="2:24" s="177" customFormat="1" ht="18" hidden="1" x14ac:dyDescent="0.35">
      <c r="B290" s="221"/>
      <c r="C290" s="400"/>
      <c r="D290" s="195"/>
      <c r="E290" s="219" t="s">
        <v>227</v>
      </c>
      <c r="F290" s="49"/>
      <c r="G290" s="222">
        <f>G289*Cost_Setup!$F$7/60</f>
        <v>8.6399999999999988</v>
      </c>
      <c r="H290" s="222">
        <f>H289*Cost_Setup!$F$7/60</f>
        <v>60.48</v>
      </c>
      <c r="I290" s="222">
        <f>I289*Cost_Setup!$F$7/60</f>
        <v>262.08</v>
      </c>
      <c r="J290" s="195"/>
      <c r="K290" s="195"/>
      <c r="L290" s="401"/>
      <c r="M290" s="195"/>
      <c r="N290" s="195"/>
      <c r="O290" s="195"/>
      <c r="P290" s="49"/>
      <c r="Q290" s="49"/>
      <c r="R290" s="49"/>
      <c r="S290" s="49"/>
      <c r="T290" s="49"/>
      <c r="U290" s="49"/>
      <c r="V290" s="49"/>
      <c r="W290" s="49"/>
      <c r="X290" s="49"/>
    </row>
    <row r="291" spans="2:24" s="177" customFormat="1" ht="14.4" x14ac:dyDescent="0.3">
      <c r="B291" s="195"/>
      <c r="C291" s="400"/>
      <c r="D291" s="195"/>
      <c r="E291" s="219" t="s">
        <v>228</v>
      </c>
      <c r="F291" s="49"/>
      <c r="G291" s="223">
        <f>G287/G289</f>
        <v>0</v>
      </c>
      <c r="H291" s="223">
        <f t="shared" ref="H291:I291" si="12">H287/H289</f>
        <v>0</v>
      </c>
      <c r="I291" s="223">
        <f t="shared" si="12"/>
        <v>0</v>
      </c>
      <c r="J291" s="195"/>
      <c r="K291" s="195"/>
      <c r="L291" s="401"/>
      <c r="M291" s="195"/>
      <c r="N291" s="195"/>
      <c r="O291" s="195"/>
      <c r="P291" s="49"/>
      <c r="Q291" s="49"/>
      <c r="R291" s="49"/>
      <c r="S291" s="49"/>
      <c r="T291" s="49"/>
      <c r="U291" s="49"/>
      <c r="V291" s="49"/>
      <c r="W291" s="49"/>
      <c r="X291" s="49"/>
    </row>
    <row r="292" spans="2:24" s="177" customFormat="1" ht="14.4" x14ac:dyDescent="0.3">
      <c r="B292" s="195"/>
      <c r="C292" s="400"/>
      <c r="D292" s="195"/>
      <c r="E292" s="195"/>
      <c r="F292" s="195"/>
      <c r="G292" s="195"/>
      <c r="H292" s="195"/>
      <c r="I292" s="195"/>
      <c r="J292" s="195"/>
      <c r="K292" s="195"/>
      <c r="L292" s="401"/>
      <c r="M292" s="195"/>
      <c r="N292" s="195"/>
      <c r="O292" s="195"/>
      <c r="P292" s="195"/>
      <c r="Q292" s="195"/>
      <c r="R292" s="195"/>
      <c r="S292" s="195"/>
      <c r="T292" s="195"/>
      <c r="U292" s="195"/>
      <c r="V292" s="195"/>
      <c r="W292" s="195"/>
      <c r="X292" s="195"/>
    </row>
    <row r="293" spans="2:24" s="177" customFormat="1" ht="15" thickBot="1" x14ac:dyDescent="0.35">
      <c r="B293" s="195"/>
      <c r="C293" s="400"/>
      <c r="D293" s="195"/>
      <c r="E293" s="195"/>
      <c r="F293" s="195"/>
      <c r="G293" s="195"/>
      <c r="H293" s="195"/>
      <c r="I293" s="195"/>
      <c r="J293" s="195"/>
      <c r="K293" s="195"/>
      <c r="L293" s="401"/>
      <c r="M293" s="195"/>
      <c r="N293" s="195"/>
      <c r="O293" s="195"/>
      <c r="P293" s="195"/>
      <c r="Q293" s="195"/>
      <c r="R293" s="195"/>
      <c r="S293" s="195"/>
      <c r="T293" s="195"/>
      <c r="U293" s="195"/>
      <c r="V293" s="195"/>
      <c r="W293" s="195"/>
      <c r="X293" s="195"/>
    </row>
    <row r="294" spans="2:24" s="177" customFormat="1" ht="15" customHeight="1" x14ac:dyDescent="0.3">
      <c r="B294" s="195"/>
      <c r="C294" s="400"/>
      <c r="D294" s="195"/>
      <c r="E294" s="561" t="s">
        <v>150</v>
      </c>
      <c r="F294" s="195"/>
      <c r="G294" s="563" t="s">
        <v>291</v>
      </c>
      <c r="H294" s="564"/>
      <c r="I294" s="564"/>
      <c r="J294" s="564"/>
      <c r="K294" s="565"/>
      <c r="L294" s="401"/>
      <c r="M294" s="195"/>
      <c r="N294" s="258"/>
      <c r="O294" s="259"/>
      <c r="P294" s="260"/>
      <c r="Q294" s="195"/>
      <c r="R294" s="195"/>
      <c r="S294" s="195"/>
      <c r="T294" s="195"/>
      <c r="U294" s="195"/>
      <c r="V294" s="195"/>
      <c r="W294" s="195"/>
      <c r="X294" s="195"/>
    </row>
    <row r="295" spans="2:24" s="177" customFormat="1" ht="28.8" x14ac:dyDescent="0.3">
      <c r="B295" s="195"/>
      <c r="C295" s="400"/>
      <c r="D295" s="195"/>
      <c r="E295" s="561"/>
      <c r="F295" s="195"/>
      <c r="G295" s="261" t="s">
        <v>292</v>
      </c>
      <c r="H295" s="262" t="s">
        <v>293</v>
      </c>
      <c r="I295" s="262" t="s">
        <v>294</v>
      </c>
      <c r="J295" s="263" t="s">
        <v>295</v>
      </c>
      <c r="K295" s="264" t="s">
        <v>296</v>
      </c>
      <c r="L295" s="401"/>
      <c r="M295" s="195"/>
      <c r="N295" s="258"/>
      <c r="O295" s="49"/>
      <c r="P295" s="260"/>
      <c r="Q295" s="195"/>
      <c r="R295" s="195"/>
      <c r="S295" s="195"/>
      <c r="T295" s="195"/>
      <c r="U295" s="195"/>
      <c r="V295" s="195"/>
      <c r="W295" s="195"/>
      <c r="X295" s="195"/>
    </row>
    <row r="296" spans="2:24" s="177" customFormat="1" ht="15" customHeight="1" thickBot="1" x14ac:dyDescent="0.35">
      <c r="B296" s="195"/>
      <c r="C296" s="400"/>
      <c r="D296" s="195"/>
      <c r="E296" s="561"/>
      <c r="F296" s="195"/>
      <c r="G296" s="237">
        <f>G24</f>
        <v>0</v>
      </c>
      <c r="H296" s="226">
        <f>G25</f>
        <v>0</v>
      </c>
      <c r="I296" s="265">
        <v>2</v>
      </c>
      <c r="J296" s="226">
        <f>IFERROR((24*60)/H296*G296,0)</f>
        <v>0</v>
      </c>
      <c r="K296" s="266">
        <f>(J296*I296)/(1024*1024)</f>
        <v>0</v>
      </c>
      <c r="L296" s="401"/>
      <c r="M296" s="195"/>
      <c r="N296" s="258"/>
      <c r="O296" s="49"/>
      <c r="P296" s="260"/>
      <c r="Q296" s="195"/>
      <c r="R296" s="195"/>
      <c r="S296" s="195"/>
      <c r="T296" s="195"/>
      <c r="U296" s="195"/>
      <c r="V296" s="195"/>
      <c r="W296" s="195"/>
      <c r="X296" s="195"/>
    </row>
    <row r="297" spans="2:24" s="177" customFormat="1" ht="15" thickBot="1" x14ac:dyDescent="0.35">
      <c r="B297" s="195"/>
      <c r="C297" s="400"/>
      <c r="D297" s="195"/>
      <c r="E297" s="561"/>
      <c r="F297" s="195"/>
      <c r="G297" s="49"/>
      <c r="H297" s="49"/>
      <c r="I297" s="49"/>
      <c r="J297" s="49"/>
      <c r="K297" s="49"/>
      <c r="L297" s="401"/>
      <c r="M297" s="195"/>
      <c r="N297" s="49"/>
      <c r="O297" s="49"/>
      <c r="P297" s="260"/>
      <c r="Q297" s="195"/>
      <c r="R297" s="195"/>
      <c r="S297" s="195"/>
      <c r="T297" s="195"/>
      <c r="U297" s="195"/>
      <c r="V297" s="195"/>
      <c r="W297" s="195"/>
      <c r="X297" s="195"/>
    </row>
    <row r="298" spans="2:24" s="177" customFormat="1" ht="15.75" customHeight="1" x14ac:dyDescent="0.3">
      <c r="B298" s="195"/>
      <c r="C298" s="400"/>
      <c r="D298" s="195"/>
      <c r="E298" s="561"/>
      <c r="F298" s="195"/>
      <c r="G298" s="267" t="s">
        <v>297</v>
      </c>
      <c r="H298" s="268" t="s">
        <v>298</v>
      </c>
      <c r="I298" s="268" t="s">
        <v>299</v>
      </c>
      <c r="J298" s="268" t="s">
        <v>300</v>
      </c>
      <c r="K298" s="269" t="s">
        <v>301</v>
      </c>
      <c r="L298" s="425"/>
      <c r="M298" s="195"/>
      <c r="N298" s="49"/>
      <c r="O298" s="49"/>
      <c r="P298" s="260"/>
      <c r="Q298" s="195"/>
      <c r="R298" s="195"/>
      <c r="S298" s="195"/>
      <c r="T298" s="195"/>
      <c r="U298" s="195"/>
      <c r="V298" s="195"/>
      <c r="W298" s="195"/>
      <c r="X298" s="195"/>
    </row>
    <row r="299" spans="2:24" s="177" customFormat="1" ht="15" customHeight="1" thickBot="1" x14ac:dyDescent="0.35">
      <c r="B299" s="195"/>
      <c r="C299" s="400"/>
      <c r="D299" s="195"/>
      <c r="E299" s="561"/>
      <c r="F299" s="195"/>
      <c r="G299" s="237">
        <f>G26</f>
        <v>0</v>
      </c>
      <c r="H299" s="226">
        <f>ROUNDUP(G299*FabricMapping!$N$121,0)</f>
        <v>0</v>
      </c>
      <c r="I299" s="239">
        <f>IFERROR(ROUNDUP(J296*FabricMapping!$N$120,0),0)</f>
        <v>0</v>
      </c>
      <c r="J299" s="226">
        <f>ROUNDUP(FabricMapping!$N$119*K296,0)</f>
        <v>0</v>
      </c>
      <c r="K299" s="227">
        <f>SUM(H299:J299)</f>
        <v>0</v>
      </c>
      <c r="L299" s="401"/>
      <c r="M299" s="195"/>
      <c r="N299" s="258"/>
      <c r="O299" s="49"/>
      <c r="P299" s="260"/>
      <c r="Q299" s="195"/>
      <c r="R299" s="195"/>
      <c r="S299" s="195"/>
      <c r="T299" s="195"/>
      <c r="U299" s="195"/>
      <c r="V299" s="195"/>
      <c r="W299" s="195"/>
      <c r="X299" s="195"/>
    </row>
    <row r="300" spans="2:24" s="177" customFormat="1" ht="15" customHeight="1" thickBot="1" x14ac:dyDescent="0.35">
      <c r="B300" s="195"/>
      <c r="C300" s="400"/>
      <c r="D300" s="195"/>
      <c r="E300" s="561"/>
      <c r="F300" s="195"/>
      <c r="G300" s="270"/>
      <c r="H300" s="270"/>
      <c r="I300" s="270"/>
      <c r="J300" s="270"/>
      <c r="K300" s="270"/>
      <c r="L300" s="425"/>
      <c r="M300" s="195"/>
      <c r="N300" s="49"/>
      <c r="O300" s="49"/>
      <c r="P300" s="260"/>
      <c r="Q300" s="195"/>
      <c r="R300" s="195"/>
      <c r="S300" s="195"/>
      <c r="T300" s="195"/>
      <c r="U300" s="195"/>
      <c r="V300" s="195"/>
      <c r="W300" s="195"/>
      <c r="X300" s="195"/>
    </row>
    <row r="301" spans="2:24" s="177" customFormat="1" ht="15" customHeight="1" x14ac:dyDescent="0.3">
      <c r="B301" s="195"/>
      <c r="C301" s="400"/>
      <c r="D301" s="195"/>
      <c r="E301" s="561"/>
      <c r="F301" s="195"/>
      <c r="G301" s="572" t="s">
        <v>302</v>
      </c>
      <c r="H301" s="573"/>
      <c r="I301" s="573"/>
      <c r="J301" s="573"/>
      <c r="K301" s="574"/>
      <c r="L301" s="425"/>
      <c r="M301" s="195"/>
      <c r="N301" s="49"/>
      <c r="O301" s="49"/>
      <c r="P301" s="260"/>
      <c r="Q301" s="195"/>
      <c r="R301" s="195"/>
      <c r="S301" s="195"/>
      <c r="T301" s="195"/>
      <c r="U301" s="195"/>
      <c r="V301" s="195"/>
      <c r="W301" s="195"/>
      <c r="X301" s="195"/>
    </row>
    <row r="302" spans="2:24" s="177" customFormat="1" ht="15" customHeight="1" x14ac:dyDescent="0.3">
      <c r="B302" s="195"/>
      <c r="C302" s="400"/>
      <c r="D302" s="195"/>
      <c r="E302" s="561"/>
      <c r="F302" s="195"/>
      <c r="G302" s="271" t="s">
        <v>303</v>
      </c>
      <c r="H302" s="575" t="s">
        <v>304</v>
      </c>
      <c r="I302" s="575"/>
      <c r="J302" s="575"/>
      <c r="K302" s="576"/>
      <c r="L302" s="425"/>
      <c r="M302" s="195"/>
      <c r="N302" s="195"/>
      <c r="O302" s="195"/>
      <c r="P302" s="195"/>
      <c r="Q302" s="195"/>
      <c r="R302" s="195"/>
      <c r="S302" s="195"/>
      <c r="T302" s="195"/>
      <c r="U302" s="195"/>
      <c r="V302" s="195"/>
      <c r="W302" s="195"/>
      <c r="X302" s="195"/>
    </row>
    <row r="303" spans="2:24" s="177" customFormat="1" ht="15.75" customHeight="1" thickBot="1" x14ac:dyDescent="0.35">
      <c r="B303" s="195"/>
      <c r="C303" s="400"/>
      <c r="D303" s="195"/>
      <c r="E303" s="561"/>
      <c r="F303" s="195"/>
      <c r="G303" s="237">
        <f>G27</f>
        <v>0</v>
      </c>
      <c r="H303" s="570">
        <f>ROUNDUP(G303*K296,2)</f>
        <v>0</v>
      </c>
      <c r="I303" s="570"/>
      <c r="J303" s="570"/>
      <c r="K303" s="571"/>
      <c r="L303" s="425"/>
      <c r="M303" s="195"/>
      <c r="N303" s="195"/>
      <c r="O303" s="195"/>
      <c r="P303" s="195"/>
      <c r="Q303" s="195"/>
      <c r="R303" s="195"/>
      <c r="S303" s="195"/>
      <c r="T303" s="195"/>
      <c r="U303" s="195"/>
      <c r="V303" s="195"/>
      <c r="W303" s="195"/>
      <c r="X303" s="195"/>
    </row>
    <row r="304" spans="2:24" s="177" customFormat="1" ht="14.4" x14ac:dyDescent="0.3">
      <c r="B304" s="195"/>
      <c r="C304" s="400"/>
      <c r="D304" s="195"/>
      <c r="E304" s="195"/>
      <c r="F304" s="195"/>
      <c r="G304" s="195"/>
      <c r="H304" s="195"/>
      <c r="I304" s="195"/>
      <c r="J304" s="195"/>
      <c r="K304" s="195"/>
      <c r="L304" s="401"/>
      <c r="M304" s="195"/>
      <c r="N304" s="195"/>
      <c r="O304" s="195"/>
      <c r="P304" s="195"/>
      <c r="Q304" s="195"/>
      <c r="R304" s="195"/>
      <c r="S304" s="195"/>
      <c r="T304" s="195"/>
      <c r="U304" s="195"/>
      <c r="V304" s="195"/>
      <c r="W304" s="195"/>
      <c r="X304" s="195"/>
    </row>
    <row r="305" spans="2:24" s="177" customFormat="1" ht="14.4" x14ac:dyDescent="0.3">
      <c r="B305" s="195"/>
      <c r="C305" s="400"/>
      <c r="D305" s="195"/>
      <c r="E305" s="195"/>
      <c r="F305" s="195"/>
      <c r="G305" s="195"/>
      <c r="H305" s="195"/>
      <c r="I305" s="195"/>
      <c r="J305" s="195"/>
      <c r="K305" s="426"/>
      <c r="L305" s="425"/>
      <c r="M305" s="195"/>
      <c r="N305" s="195"/>
      <c r="O305" s="195"/>
      <c r="P305" s="195"/>
      <c r="Q305" s="195"/>
      <c r="R305" s="195"/>
      <c r="S305" s="195"/>
      <c r="T305" s="195"/>
      <c r="U305" s="195"/>
      <c r="V305" s="195"/>
      <c r="W305" s="195"/>
      <c r="X305" s="195"/>
    </row>
    <row r="306" spans="2:24" s="177" customFormat="1" ht="15" thickBot="1" x14ac:dyDescent="0.35">
      <c r="B306" s="195"/>
      <c r="C306" s="400"/>
      <c r="D306" s="195"/>
      <c r="E306" s="195"/>
      <c r="F306" s="195"/>
      <c r="G306" s="195"/>
      <c r="H306" s="195"/>
      <c r="I306" s="195"/>
      <c r="J306" s="195"/>
      <c r="K306" s="426"/>
      <c r="L306" s="425"/>
      <c r="M306" s="195"/>
      <c r="N306" s="195"/>
      <c r="O306" s="195"/>
      <c r="P306" s="195"/>
      <c r="Q306" s="195"/>
      <c r="R306" s="195"/>
      <c r="S306" s="195"/>
      <c r="T306" s="195"/>
      <c r="U306" s="195"/>
      <c r="V306" s="195"/>
      <c r="W306" s="195"/>
      <c r="X306" s="195"/>
    </row>
    <row r="307" spans="2:24" s="177" customFormat="1" ht="14.4" x14ac:dyDescent="0.3">
      <c r="B307" s="195"/>
      <c r="C307" s="400"/>
      <c r="D307" s="195"/>
      <c r="E307" s="561" t="s">
        <v>305</v>
      </c>
      <c r="F307" s="195"/>
      <c r="G307" s="563" t="s">
        <v>306</v>
      </c>
      <c r="H307" s="564"/>
      <c r="I307" s="564"/>
      <c r="J307" s="564"/>
      <c r="K307" s="565"/>
      <c r="L307" s="425"/>
      <c r="M307" s="427"/>
      <c r="N307" s="195"/>
      <c r="O307" s="195"/>
      <c r="P307" s="195"/>
      <c r="Q307" s="195"/>
      <c r="R307" s="195"/>
      <c r="S307" s="195"/>
      <c r="T307" s="195"/>
      <c r="U307" s="195"/>
      <c r="V307" s="195"/>
      <c r="W307" s="195"/>
      <c r="X307" s="195"/>
    </row>
    <row r="308" spans="2:24" s="177" customFormat="1" ht="14.4" x14ac:dyDescent="0.3">
      <c r="B308" s="195"/>
      <c r="C308" s="400"/>
      <c r="D308" s="195"/>
      <c r="E308" s="561"/>
      <c r="F308" s="195"/>
      <c r="G308" s="273" t="s">
        <v>307</v>
      </c>
      <c r="H308" s="262" t="s">
        <v>308</v>
      </c>
      <c r="I308" s="262" t="s">
        <v>309</v>
      </c>
      <c r="J308" s="262" t="s">
        <v>310</v>
      </c>
      <c r="K308" s="264" t="s">
        <v>311</v>
      </c>
      <c r="L308" s="425"/>
      <c r="M308" s="195"/>
      <c r="N308" s="195"/>
      <c r="O308" s="195"/>
      <c r="P308" s="195"/>
      <c r="Q308" s="195"/>
      <c r="R308" s="195"/>
      <c r="S308" s="195"/>
      <c r="T308" s="195"/>
      <c r="U308" s="195"/>
      <c r="V308" s="195"/>
      <c r="W308" s="195"/>
      <c r="X308" s="195"/>
    </row>
    <row r="309" spans="2:24" s="177" customFormat="1" ht="14.4" x14ac:dyDescent="0.3">
      <c r="B309" s="195"/>
      <c r="C309" s="400"/>
      <c r="D309" s="195"/>
      <c r="E309" s="561"/>
      <c r="F309" s="195"/>
      <c r="G309" s="428">
        <v>7</v>
      </c>
      <c r="H309" s="421">
        <f>ROUNDUP((((G29/G309)*(J309+K309))+(G28/G309)),2)</f>
        <v>0</v>
      </c>
      <c r="I309" s="421">
        <f>(((G29/G309)*J309)+(G28/G309))</f>
        <v>0</v>
      </c>
      <c r="J309" s="429">
        <f>G30</f>
        <v>0</v>
      </c>
      <c r="K309" s="430">
        <f>G31</f>
        <v>0</v>
      </c>
      <c r="L309" s="425"/>
      <c r="M309" s="195"/>
      <c r="N309" s="431"/>
      <c r="O309" s="195"/>
      <c r="P309" s="195"/>
      <c r="Q309" s="195"/>
      <c r="R309" s="195"/>
      <c r="S309" s="195"/>
      <c r="T309" s="195"/>
      <c r="U309" s="195"/>
      <c r="V309" s="195"/>
      <c r="W309" s="195"/>
      <c r="X309" s="195"/>
    </row>
    <row r="310" spans="2:24" s="177" customFormat="1" ht="14.4" x14ac:dyDescent="0.3">
      <c r="B310" s="195"/>
      <c r="C310" s="400"/>
      <c r="D310" s="195"/>
      <c r="E310" s="561"/>
      <c r="F310" s="195"/>
      <c r="G310" s="273" t="s">
        <v>312</v>
      </c>
      <c r="H310" s="262" t="s">
        <v>313</v>
      </c>
      <c r="I310" s="262" t="s">
        <v>314</v>
      </c>
      <c r="J310" s="262" t="s">
        <v>315</v>
      </c>
      <c r="K310" s="274" t="s">
        <v>316</v>
      </c>
      <c r="L310" s="425"/>
      <c r="M310" s="195"/>
      <c r="N310" s="195"/>
      <c r="O310" s="195"/>
      <c r="P310" s="195"/>
      <c r="Q310" s="195"/>
      <c r="R310" s="195"/>
      <c r="S310" s="195"/>
      <c r="T310" s="195"/>
      <c r="U310" s="195"/>
      <c r="V310" s="195"/>
      <c r="W310" s="195"/>
      <c r="X310" s="195"/>
    </row>
    <row r="311" spans="2:24" s="177" customFormat="1" ht="15" thickBot="1" x14ac:dyDescent="0.35">
      <c r="B311" s="195"/>
      <c r="C311" s="400"/>
      <c r="D311" s="195"/>
      <c r="E311" s="561"/>
      <c r="F311" s="195"/>
      <c r="G311" s="415">
        <f>IFERROR(VLOOKUP(I309,FabricMapping!$E$93:$I$101,2,1),0)</f>
        <v>0</v>
      </c>
      <c r="H311" s="406">
        <f>IFERROR(ROUNDUP(I309/VLOOKUP(G311,FabricMapping!$F$93:$I$101,2,0),0),0)</f>
        <v>0</v>
      </c>
      <c r="I311" s="406">
        <f>IFERROR(IF(G311="XX-Large",VLOOKUP(G311,FabricMapping!$F$93:$H$101,3,0)*H311,VLOOKUP(G311,FabricMapping!$F$93:$H$101,3,0)),0)</f>
        <v>0</v>
      </c>
      <c r="J311" s="416">
        <f>G32/24</f>
        <v>0</v>
      </c>
      <c r="K311" s="407" cm="1">
        <f t="array" ref="K311">ROUNDUP((_xlfn.SWITCH(G311, "Extra Extra Small", (I311+0.25), "Extra Small", (I311+0.25), I311+2)*J311)*24*60,2)</f>
        <v>0</v>
      </c>
      <c r="L311" s="425"/>
      <c r="M311" s="195"/>
      <c r="N311" s="195"/>
      <c r="O311" s="195"/>
      <c r="P311" s="195"/>
      <c r="Q311" s="195"/>
      <c r="R311" s="195"/>
      <c r="S311" s="195"/>
      <c r="T311" s="195"/>
      <c r="U311" s="195"/>
      <c r="V311" s="195"/>
      <c r="W311" s="195"/>
      <c r="X311" s="195"/>
    </row>
    <row r="312" spans="2:24" s="177" customFormat="1" ht="14.4" x14ac:dyDescent="0.3">
      <c r="B312" s="195"/>
      <c r="C312" s="400"/>
      <c r="D312" s="195"/>
      <c r="E312" s="195"/>
      <c r="F312" s="195"/>
      <c r="G312" s="195"/>
      <c r="H312" s="195"/>
      <c r="I312" s="195"/>
      <c r="J312" s="195"/>
      <c r="K312" s="426"/>
      <c r="L312" s="425"/>
      <c r="M312" s="195"/>
      <c r="N312" s="195"/>
      <c r="O312" s="195"/>
      <c r="P312" s="195"/>
      <c r="Q312" s="195"/>
      <c r="R312" s="195"/>
      <c r="S312" s="195"/>
      <c r="T312" s="195"/>
      <c r="U312" s="195"/>
      <c r="V312" s="195"/>
      <c r="W312" s="195"/>
      <c r="X312" s="195"/>
    </row>
    <row r="313" spans="2:24" s="177" customFormat="1" ht="14.4" x14ac:dyDescent="0.3">
      <c r="B313" s="195"/>
      <c r="C313" s="400"/>
      <c r="D313" s="195"/>
      <c r="E313" s="195"/>
      <c r="F313" s="195"/>
      <c r="G313" s="195"/>
      <c r="H313" s="195"/>
      <c r="I313" s="195"/>
      <c r="J313" s="195"/>
      <c r="K313" s="426"/>
      <c r="L313" s="425"/>
      <c r="M313" s="195"/>
      <c r="N313" s="195"/>
      <c r="O313" s="195"/>
      <c r="P313" s="195"/>
      <c r="Q313" s="195"/>
      <c r="R313" s="195"/>
      <c r="S313" s="195"/>
      <c r="T313" s="195"/>
      <c r="U313" s="195"/>
      <c r="V313" s="195"/>
      <c r="W313" s="195"/>
      <c r="X313" s="195"/>
    </row>
    <row r="314" spans="2:24" s="177" customFormat="1" ht="15" thickBot="1" x14ac:dyDescent="0.35">
      <c r="B314" s="195"/>
      <c r="C314" s="400"/>
      <c r="D314" s="195"/>
      <c r="E314" s="195"/>
      <c r="F314" s="195"/>
      <c r="G314" s="195"/>
      <c r="H314" s="195"/>
      <c r="I314" s="195"/>
      <c r="J314" s="195"/>
      <c r="K314" s="426"/>
      <c r="L314" s="425"/>
      <c r="M314" s="195"/>
      <c r="N314" s="195"/>
      <c r="O314" s="195"/>
      <c r="P314" s="195"/>
      <c r="Q314" s="195"/>
      <c r="R314" s="195"/>
      <c r="S314" s="195"/>
      <c r="T314" s="195"/>
      <c r="U314" s="195"/>
      <c r="V314" s="195"/>
      <c r="W314" s="195"/>
      <c r="X314" s="195"/>
    </row>
    <row r="315" spans="2:24" s="177" customFormat="1" ht="14.4" x14ac:dyDescent="0.3">
      <c r="B315" s="195"/>
      <c r="C315" s="400"/>
      <c r="D315" s="195"/>
      <c r="E315" s="561" t="s">
        <v>149</v>
      </c>
      <c r="F315" s="195"/>
      <c r="G315" s="563" t="s">
        <v>149</v>
      </c>
      <c r="H315" s="564"/>
      <c r="I315" s="564"/>
      <c r="J315" s="564"/>
      <c r="K315" s="565"/>
      <c r="L315" s="425"/>
      <c r="M315" s="195"/>
      <c r="N315" s="195"/>
      <c r="O315" s="195"/>
      <c r="P315" s="195"/>
      <c r="Q315" s="195"/>
      <c r="R315" s="195"/>
      <c r="S315" s="195"/>
      <c r="T315" s="195"/>
      <c r="U315" s="195"/>
      <c r="V315" s="195"/>
      <c r="W315" s="195"/>
      <c r="X315" s="195"/>
    </row>
    <row r="316" spans="2:24" s="177" customFormat="1" ht="14.4" x14ac:dyDescent="0.3">
      <c r="B316" s="195"/>
      <c r="C316" s="400"/>
      <c r="D316" s="195"/>
      <c r="E316" s="561"/>
      <c r="F316" s="195"/>
      <c r="G316" s="230" t="s">
        <v>317</v>
      </c>
      <c r="H316" s="231" t="s">
        <v>295</v>
      </c>
      <c r="I316" s="231" t="s">
        <v>97</v>
      </c>
      <c r="J316" s="231" t="s">
        <v>318</v>
      </c>
      <c r="K316" s="232" t="s">
        <v>319</v>
      </c>
      <c r="L316" s="425"/>
      <c r="M316" s="195"/>
      <c r="N316" s="195"/>
      <c r="O316" s="195"/>
      <c r="P316" s="195"/>
      <c r="Q316" s="195"/>
      <c r="R316" s="195"/>
      <c r="S316" s="195"/>
      <c r="T316" s="195"/>
      <c r="U316" s="195"/>
      <c r="V316" s="195"/>
      <c r="W316" s="195"/>
      <c r="X316" s="195"/>
    </row>
    <row r="317" spans="2:24" s="177" customFormat="1" ht="15" thickBot="1" x14ac:dyDescent="0.35">
      <c r="B317" s="195"/>
      <c r="C317" s="400"/>
      <c r="D317" s="195"/>
      <c r="E317" s="561"/>
      <c r="F317" s="195"/>
      <c r="G317" s="257">
        <f>G33</f>
        <v>0</v>
      </c>
      <c r="H317" s="226">
        <f>(G317*1024)/($I$296/1024)</f>
        <v>0</v>
      </c>
      <c r="I317" s="239">
        <f>K309</f>
        <v>0</v>
      </c>
      <c r="J317" s="226">
        <f>(G317*I317) - G317</f>
        <v>0</v>
      </c>
      <c r="K317" s="227">
        <f>SUM(I320+J324+I328)</f>
        <v>0</v>
      </c>
      <c r="L317" s="425"/>
      <c r="M317" s="195"/>
      <c r="N317" s="195"/>
      <c r="O317" s="195"/>
      <c r="P317" s="195"/>
      <c r="Q317" s="195"/>
      <c r="R317" s="195"/>
      <c r="S317" s="195"/>
      <c r="T317" s="195"/>
      <c r="U317" s="195"/>
      <c r="V317" s="195"/>
      <c r="W317" s="195"/>
      <c r="X317" s="195"/>
    </row>
    <row r="318" spans="2:24" s="177" customFormat="1" ht="14.4" x14ac:dyDescent="0.3">
      <c r="B318" s="195"/>
      <c r="C318" s="400"/>
      <c r="D318" s="195"/>
      <c r="E318" s="561"/>
      <c r="F318" s="195"/>
      <c r="G318" s="572" t="s">
        <v>149</v>
      </c>
      <c r="H318" s="573"/>
      <c r="I318" s="573"/>
      <c r="J318" s="573"/>
      <c r="K318" s="574"/>
      <c r="L318" s="425"/>
      <c r="M318" s="195"/>
      <c r="N318" s="195"/>
      <c r="O318" s="195"/>
      <c r="P318" s="195"/>
      <c r="Q318" s="195"/>
      <c r="R318" s="195"/>
      <c r="S318" s="195"/>
      <c r="T318" s="195"/>
      <c r="U318" s="195"/>
      <c r="V318" s="195"/>
      <c r="W318" s="195"/>
      <c r="X318" s="195"/>
    </row>
    <row r="319" spans="2:24" s="177" customFormat="1" ht="14.4" x14ac:dyDescent="0.3">
      <c r="B319" s="195"/>
      <c r="C319" s="400"/>
      <c r="D319" s="195"/>
      <c r="E319" s="561"/>
      <c r="F319" s="195"/>
      <c r="G319" s="275" t="s">
        <v>320</v>
      </c>
      <c r="H319" s="209" t="s">
        <v>321</v>
      </c>
      <c r="I319" s="597" t="s">
        <v>322</v>
      </c>
      <c r="J319" s="597"/>
      <c r="K319" s="598"/>
      <c r="L319" s="425"/>
      <c r="M319" s="195"/>
      <c r="N319" s="195"/>
      <c r="O319" s="195"/>
      <c r="P319" s="195"/>
      <c r="Q319" s="195"/>
      <c r="R319" s="195"/>
      <c r="S319" s="195"/>
      <c r="T319" s="195"/>
      <c r="U319" s="195"/>
      <c r="V319" s="195"/>
      <c r="W319" s="195"/>
      <c r="X319" s="195"/>
    </row>
    <row r="320" spans="2:24" s="177" customFormat="1" ht="15" thickBot="1" x14ac:dyDescent="0.35">
      <c r="B320" s="195"/>
      <c r="C320" s="400"/>
      <c r="D320" s="195"/>
      <c r="E320" s="561"/>
      <c r="F320" s="195"/>
      <c r="G320" s="257">
        <f>G34</f>
        <v>0</v>
      </c>
      <c r="H320" s="276">
        <f>G35</f>
        <v>0</v>
      </c>
      <c r="I320" s="570">
        <f>G320*H320*FabricMapping!$N$130</f>
        <v>0</v>
      </c>
      <c r="J320" s="570"/>
      <c r="K320" s="571"/>
      <c r="L320" s="425"/>
      <c r="M320" s="195"/>
      <c r="N320" s="195"/>
      <c r="O320" s="195"/>
      <c r="P320" s="195"/>
      <c r="Q320" s="195"/>
      <c r="R320" s="195"/>
      <c r="S320" s="195"/>
      <c r="T320" s="195"/>
      <c r="U320" s="195"/>
      <c r="V320" s="195"/>
      <c r="W320" s="195"/>
      <c r="X320" s="195"/>
    </row>
    <row r="321" spans="3:16" s="177" customFormat="1" ht="15" thickBot="1" x14ac:dyDescent="0.35">
      <c r="C321" s="400"/>
      <c r="D321" s="195"/>
      <c r="E321" s="561"/>
      <c r="F321" s="195"/>
      <c r="G321" s="270"/>
      <c r="H321" s="270"/>
      <c r="I321" s="270"/>
      <c r="J321" s="270"/>
      <c r="K321" s="270"/>
      <c r="L321" s="425"/>
      <c r="M321" s="195"/>
      <c r="N321" s="195"/>
      <c r="O321" s="195"/>
      <c r="P321" s="195"/>
    </row>
    <row r="322" spans="3:16" s="177" customFormat="1" ht="14.4" x14ac:dyDescent="0.3">
      <c r="C322" s="400"/>
      <c r="D322" s="195"/>
      <c r="E322" s="561"/>
      <c r="F322" s="195"/>
      <c r="G322" s="572" t="s">
        <v>323</v>
      </c>
      <c r="H322" s="573"/>
      <c r="I322" s="573"/>
      <c r="J322" s="573"/>
      <c r="K322" s="574"/>
      <c r="L322" s="425"/>
      <c r="M322" s="195"/>
      <c r="N322" s="195"/>
      <c r="O322" s="195"/>
      <c r="P322" s="195"/>
    </row>
    <row r="323" spans="3:16" s="177" customFormat="1" ht="14.4" x14ac:dyDescent="0.3">
      <c r="C323" s="400"/>
      <c r="D323" s="195"/>
      <c r="E323" s="561"/>
      <c r="F323" s="195"/>
      <c r="G323" s="271" t="s">
        <v>324</v>
      </c>
      <c r="H323" s="272" t="s">
        <v>325</v>
      </c>
      <c r="I323" s="272" t="s">
        <v>326</v>
      </c>
      <c r="J323" s="597" t="s">
        <v>322</v>
      </c>
      <c r="K323" s="598"/>
      <c r="L323" s="425"/>
      <c r="M323" s="195"/>
      <c r="N323" s="195"/>
      <c r="O323" s="195"/>
      <c r="P323" s="195"/>
    </row>
    <row r="324" spans="3:16" s="177" customFormat="1" ht="15" thickBot="1" x14ac:dyDescent="0.35">
      <c r="C324" s="400"/>
      <c r="D324" s="195"/>
      <c r="E324" s="561"/>
      <c r="F324" s="195"/>
      <c r="G324" s="237">
        <f>G317</f>
        <v>0</v>
      </c>
      <c r="H324" s="226">
        <f>G324*0.25</f>
        <v>0</v>
      </c>
      <c r="I324" s="226">
        <f>G324+H324</f>
        <v>0</v>
      </c>
      <c r="J324" s="570">
        <f>ROUNDUP(I324*FabricMapping!$N$131,0)</f>
        <v>0</v>
      </c>
      <c r="K324" s="571"/>
      <c r="L324" s="425"/>
      <c r="M324" s="195"/>
      <c r="N324" s="195"/>
      <c r="O324" s="195"/>
      <c r="P324" s="195"/>
    </row>
    <row r="325" spans="3:16" s="177" customFormat="1" ht="15" thickBot="1" x14ac:dyDescent="0.35">
      <c r="C325" s="400"/>
      <c r="D325" s="195"/>
      <c r="E325" s="561"/>
      <c r="F325" s="195"/>
      <c r="G325" s="270"/>
      <c r="H325" s="277"/>
      <c r="I325" s="270"/>
      <c r="J325" s="270"/>
      <c r="K325" s="270"/>
      <c r="L325" s="425"/>
      <c r="M325" s="195"/>
      <c r="N325" s="195"/>
      <c r="O325" s="195"/>
      <c r="P325" s="195"/>
    </row>
    <row r="326" spans="3:16" s="177" customFormat="1" ht="14.4" x14ac:dyDescent="0.3">
      <c r="C326" s="400"/>
      <c r="D326" s="195"/>
      <c r="E326" s="561"/>
      <c r="F326" s="195"/>
      <c r="G326" s="572" t="s">
        <v>327</v>
      </c>
      <c r="H326" s="573"/>
      <c r="I326" s="573"/>
      <c r="J326" s="573"/>
      <c r="K326" s="574"/>
      <c r="L326" s="425"/>
      <c r="M326" s="195"/>
      <c r="N326" s="195"/>
      <c r="O326" s="195"/>
      <c r="P326" s="195"/>
    </row>
    <row r="327" spans="3:16" s="177" customFormat="1" ht="14.4" x14ac:dyDescent="0.3">
      <c r="C327" s="400"/>
      <c r="D327" s="195"/>
      <c r="E327" s="561"/>
      <c r="F327" s="195"/>
      <c r="G327" s="278" t="s">
        <v>328</v>
      </c>
      <c r="H327" s="279" t="s">
        <v>329</v>
      </c>
      <c r="I327" s="597" t="s">
        <v>322</v>
      </c>
      <c r="J327" s="597"/>
      <c r="K327" s="598"/>
      <c r="L327" s="425"/>
      <c r="M327" s="195"/>
      <c r="N327" s="195"/>
      <c r="O327" s="195"/>
      <c r="P327" s="195"/>
    </row>
    <row r="328" spans="3:16" s="177" customFormat="1" ht="15" thickBot="1" x14ac:dyDescent="0.35">
      <c r="C328" s="400"/>
      <c r="D328" s="195"/>
      <c r="E328" s="561"/>
      <c r="F328" s="195"/>
      <c r="G328" s="257">
        <f>G36</f>
        <v>0</v>
      </c>
      <c r="H328" s="226">
        <f>G320</f>
        <v>0</v>
      </c>
      <c r="I328" s="570">
        <f>(G328*H328)*FabricMapping!$N$132</f>
        <v>0</v>
      </c>
      <c r="J328" s="570"/>
      <c r="K328" s="571"/>
      <c r="L328" s="425"/>
      <c r="M328" s="195"/>
      <c r="N328" s="195"/>
      <c r="O328" s="195"/>
      <c r="P328" s="195"/>
    </row>
    <row r="329" spans="3:16" s="177" customFormat="1" ht="14.4" x14ac:dyDescent="0.3">
      <c r="C329" s="400"/>
      <c r="D329" s="195"/>
      <c r="E329" s="195"/>
      <c r="F329" s="195"/>
      <c r="G329" s="195"/>
      <c r="H329" s="195"/>
      <c r="I329" s="195"/>
      <c r="J329" s="195"/>
      <c r="K329" s="426"/>
      <c r="L329" s="425"/>
      <c r="M329" s="195"/>
      <c r="N329" s="195"/>
      <c r="O329" s="195"/>
      <c r="P329" s="195"/>
    </row>
    <row r="330" spans="3:16" s="177" customFormat="1" ht="14.4" x14ac:dyDescent="0.3">
      <c r="C330" s="400"/>
      <c r="D330" s="195"/>
      <c r="E330" s="195"/>
      <c r="F330" s="195"/>
      <c r="G330" s="195"/>
      <c r="H330" s="195"/>
      <c r="I330" s="195"/>
      <c r="J330" s="195"/>
      <c r="K330" s="426"/>
      <c r="L330" s="425"/>
      <c r="M330" s="195"/>
      <c r="N330" s="195"/>
      <c r="O330" s="195"/>
      <c r="P330" s="195"/>
    </row>
    <row r="331" spans="3:16" s="177" customFormat="1" ht="14.4" x14ac:dyDescent="0.3">
      <c r="C331" s="400"/>
      <c r="D331" s="195"/>
      <c r="E331" s="195"/>
      <c r="F331" s="195"/>
      <c r="G331" s="195"/>
      <c r="H331" s="195"/>
      <c r="I331" s="195"/>
      <c r="J331" s="195"/>
      <c r="K331" s="426"/>
      <c r="L331" s="425"/>
      <c r="M331" s="195"/>
      <c r="N331" s="195"/>
      <c r="O331" s="195"/>
      <c r="P331" s="195"/>
    </row>
    <row r="332" spans="3:16" s="177" customFormat="1" ht="14.4" x14ac:dyDescent="0.3">
      <c r="C332" s="400"/>
      <c r="D332" s="195"/>
      <c r="E332" s="195"/>
      <c r="F332" s="195"/>
      <c r="G332" s="195"/>
      <c r="H332" s="195"/>
      <c r="I332" s="195"/>
      <c r="J332" s="195"/>
      <c r="K332" s="426"/>
      <c r="L332" s="425"/>
      <c r="M332" s="195"/>
      <c r="N332" s="195"/>
      <c r="O332" s="195"/>
      <c r="P332" s="195"/>
    </row>
    <row r="333" spans="3:16" s="177" customFormat="1" ht="14.4" x14ac:dyDescent="0.3">
      <c r="C333" s="400"/>
      <c r="D333" s="195"/>
      <c r="E333" s="195"/>
      <c r="F333" s="195"/>
      <c r="G333" s="195"/>
      <c r="H333" s="195"/>
      <c r="I333" s="195"/>
      <c r="J333" s="195"/>
      <c r="K333" s="426"/>
      <c r="L333" s="425"/>
      <c r="M333" s="195"/>
      <c r="N333" s="195"/>
      <c r="O333" s="195"/>
      <c r="P333" s="195"/>
    </row>
    <row r="334" spans="3:16" s="177" customFormat="1" ht="15" thickBot="1" x14ac:dyDescent="0.35">
      <c r="C334" s="409"/>
      <c r="D334" s="408"/>
      <c r="E334" s="408"/>
      <c r="F334" s="408"/>
      <c r="G334" s="408"/>
      <c r="H334" s="408"/>
      <c r="I334" s="408"/>
      <c r="J334" s="408"/>
      <c r="K334" s="408"/>
      <c r="L334" s="432"/>
      <c r="M334" s="195"/>
      <c r="N334" s="195"/>
      <c r="O334" s="195"/>
      <c r="P334" s="195"/>
    </row>
    <row r="335" spans="3:16" s="177" customFormat="1" ht="14.4" x14ac:dyDescent="0.3">
      <c r="C335" s="195"/>
      <c r="D335" s="195"/>
      <c r="E335" s="195"/>
      <c r="F335" s="195"/>
      <c r="G335" s="195"/>
      <c r="H335" s="195"/>
      <c r="I335" s="411"/>
      <c r="J335" s="195"/>
      <c r="K335" s="426"/>
      <c r="L335" s="195"/>
      <c r="M335" s="195"/>
      <c r="N335" s="195"/>
      <c r="O335" s="195"/>
      <c r="P335" s="195"/>
    </row>
    <row r="336" spans="3:16" s="177" customFormat="1" ht="14.4" x14ac:dyDescent="0.3">
      <c r="C336" s="195"/>
      <c r="D336" s="195"/>
      <c r="E336" s="195"/>
      <c r="F336" s="195"/>
      <c r="G336" s="195"/>
      <c r="H336" s="195"/>
      <c r="I336" s="195"/>
      <c r="J336" s="195"/>
      <c r="K336" s="195"/>
      <c r="L336" s="195"/>
      <c r="M336" s="195"/>
      <c r="N336" s="195"/>
      <c r="O336" s="195"/>
      <c r="P336" s="195"/>
    </row>
    <row r="337" spans="3:18" s="177" customFormat="1" ht="14.4" x14ac:dyDescent="0.3">
      <c r="C337" s="195"/>
      <c r="D337" s="195"/>
      <c r="E337" s="195"/>
      <c r="F337" s="195"/>
      <c r="G337" s="195"/>
      <c r="H337" s="195"/>
      <c r="I337" s="411"/>
      <c r="J337" s="195"/>
      <c r="K337" s="195"/>
      <c r="L337" s="195"/>
      <c r="M337" s="195"/>
      <c r="N337" s="195"/>
      <c r="O337" s="195"/>
      <c r="P337" s="195"/>
      <c r="Q337" s="195"/>
      <c r="R337" s="195"/>
    </row>
    <row r="338" spans="3:18" s="177" customFormat="1" ht="14.4" x14ac:dyDescent="0.3">
      <c r="C338" s="195"/>
      <c r="D338" s="195"/>
      <c r="E338" s="195"/>
      <c r="F338" s="195"/>
      <c r="G338" s="195"/>
      <c r="H338" s="195"/>
      <c r="I338" s="411"/>
      <c r="J338" s="433"/>
      <c r="K338" s="195"/>
      <c r="L338" s="195"/>
      <c r="M338" s="195"/>
      <c r="N338" s="195"/>
      <c r="O338" s="195"/>
      <c r="P338" s="195"/>
      <c r="Q338" s="195"/>
      <c r="R338" s="195"/>
    </row>
    <row r="339" spans="3:18" s="177" customFormat="1" ht="14.4" x14ac:dyDescent="0.3">
      <c r="C339" s="195"/>
      <c r="D339" s="195"/>
      <c r="E339" s="195"/>
      <c r="F339" s="195"/>
      <c r="G339" s="195"/>
      <c r="H339" s="195"/>
      <c r="I339" s="411"/>
      <c r="J339" s="433"/>
      <c r="K339" s="195"/>
      <c r="L339" s="195"/>
      <c r="M339" s="195"/>
      <c r="N339" s="195"/>
      <c r="O339" s="195"/>
      <c r="P339" s="195"/>
      <c r="Q339" s="195"/>
      <c r="R339" s="195"/>
    </row>
    <row r="340" spans="3:18" s="177" customFormat="1" ht="15.9" customHeight="1" x14ac:dyDescent="0.3">
      <c r="C340" s="195"/>
      <c r="D340" s="195"/>
      <c r="E340" s="195"/>
      <c r="F340" s="195"/>
      <c r="G340" s="195"/>
      <c r="H340" s="195"/>
      <c r="I340" s="195"/>
      <c r="J340" s="195"/>
      <c r="K340" s="195"/>
      <c r="L340" s="195"/>
      <c r="M340" s="195"/>
      <c r="N340" s="195"/>
      <c r="O340" s="195"/>
      <c r="P340" s="195"/>
      <c r="Q340" s="195"/>
      <c r="R340" s="195"/>
    </row>
    <row r="341" spans="3:18" s="177" customFormat="1" ht="15.9" hidden="1" customHeight="1" x14ac:dyDescent="0.3">
      <c r="C341" s="195"/>
      <c r="D341" s="195"/>
      <c r="E341" s="195"/>
      <c r="F341" s="195"/>
      <c r="G341" s="195"/>
      <c r="H341" s="195"/>
      <c r="I341" s="195"/>
      <c r="J341" s="195"/>
      <c r="K341" s="195"/>
      <c r="L341" s="195"/>
      <c r="M341" s="195"/>
      <c r="N341" s="195"/>
      <c r="O341" s="195"/>
      <c r="P341" s="195"/>
      <c r="Q341" s="195"/>
      <c r="R341" s="195"/>
    </row>
    <row r="342" spans="3:18" s="177" customFormat="1" ht="17.100000000000001" hidden="1" customHeight="1" x14ac:dyDescent="0.3">
      <c r="C342" s="195"/>
      <c r="D342" s="195"/>
      <c r="E342" s="195"/>
      <c r="F342" s="195"/>
      <c r="G342" s="195"/>
      <c r="H342" s="195"/>
      <c r="I342" s="195"/>
      <c r="J342" s="195"/>
      <c r="K342" s="195"/>
      <c r="L342" s="195"/>
      <c r="M342" s="195"/>
      <c r="N342" s="195"/>
      <c r="O342" s="195"/>
      <c r="P342" s="195"/>
      <c r="Q342" s="195"/>
      <c r="R342" s="195"/>
    </row>
    <row r="343" spans="3:18" s="177" customFormat="1" ht="17.100000000000001" hidden="1" customHeight="1" x14ac:dyDescent="0.3">
      <c r="C343" s="195"/>
      <c r="D343" s="195"/>
      <c r="E343" s="195"/>
      <c r="F343" s="195"/>
      <c r="G343" s="195"/>
      <c r="H343" s="195"/>
      <c r="I343" s="195"/>
      <c r="J343" s="195"/>
      <c r="K343" s="195"/>
      <c r="L343" s="195"/>
      <c r="M343" s="195"/>
      <c r="N343" s="195"/>
      <c r="O343" s="195"/>
      <c r="P343" s="195"/>
      <c r="Q343" s="195"/>
      <c r="R343" s="195"/>
    </row>
    <row r="344" spans="3:18" s="177" customFormat="1" ht="17.100000000000001" hidden="1" customHeight="1" x14ac:dyDescent="0.3">
      <c r="C344" s="195"/>
      <c r="D344" s="195"/>
      <c r="E344" s="195"/>
      <c r="F344" s="195"/>
      <c r="G344" s="195"/>
      <c r="H344" s="195"/>
      <c r="I344" s="195"/>
      <c r="J344" s="195"/>
      <c r="K344" s="195"/>
      <c r="L344" s="195"/>
      <c r="M344" s="195"/>
      <c r="N344" s="195"/>
      <c r="O344" s="195"/>
      <c r="P344" s="195"/>
      <c r="Q344" s="195"/>
      <c r="R344" s="195"/>
    </row>
    <row r="345" spans="3:18" s="177" customFormat="1" ht="17.100000000000001" hidden="1" customHeight="1" x14ac:dyDescent="0.3">
      <c r="C345" s="195"/>
      <c r="D345" s="195"/>
      <c r="E345" s="195"/>
      <c r="F345" s="195"/>
      <c r="G345" s="195"/>
      <c r="H345" s="195"/>
      <c r="I345" s="195"/>
      <c r="J345" s="195"/>
      <c r="K345" s="195"/>
      <c r="L345" s="195"/>
      <c r="M345" s="195"/>
      <c r="N345" s="195"/>
      <c r="O345" s="195"/>
      <c r="P345" s="195"/>
      <c r="Q345" s="195"/>
      <c r="R345" s="195"/>
    </row>
    <row r="346" spans="3:18" s="177" customFormat="1" ht="17.100000000000001" hidden="1" customHeight="1" x14ac:dyDescent="0.3">
      <c r="C346" s="195"/>
      <c r="D346" s="195"/>
      <c r="E346" s="195"/>
      <c r="F346" s="195"/>
      <c r="G346" s="195"/>
      <c r="H346" s="195"/>
      <c r="I346" s="195"/>
      <c r="J346" s="195"/>
      <c r="K346" s="195"/>
      <c r="L346" s="195"/>
      <c r="M346" s="195"/>
      <c r="N346" s="195"/>
      <c r="O346" s="195"/>
      <c r="P346" s="195"/>
      <c r="Q346" s="195"/>
      <c r="R346" s="195"/>
    </row>
    <row r="347" spans="3:18" s="177" customFormat="1" ht="17.100000000000001" hidden="1" customHeight="1" x14ac:dyDescent="0.3">
      <c r="C347" s="195"/>
      <c r="D347" s="195"/>
      <c r="E347" s="195"/>
      <c r="F347" s="195"/>
      <c r="G347" s="195"/>
      <c r="H347" s="195"/>
      <c r="I347" s="195"/>
      <c r="J347" s="195"/>
      <c r="K347" s="195"/>
      <c r="L347" s="195"/>
      <c r="M347" s="195"/>
      <c r="N347" s="195"/>
      <c r="O347" s="195"/>
      <c r="P347" s="195"/>
      <c r="Q347" s="195"/>
      <c r="R347" s="195"/>
    </row>
    <row r="348" spans="3:18" s="177" customFormat="1" ht="17.100000000000001" hidden="1" customHeight="1" x14ac:dyDescent="0.3">
      <c r="C348" s="195"/>
      <c r="D348" s="195"/>
      <c r="E348" s="195"/>
      <c r="F348" s="195"/>
      <c r="G348" s="195"/>
      <c r="H348" s="195"/>
      <c r="I348" s="195"/>
      <c r="J348" s="195"/>
      <c r="K348" s="195"/>
      <c r="L348" s="195"/>
      <c r="M348" s="195"/>
      <c r="N348" s="195"/>
      <c r="O348" s="195"/>
      <c r="P348" s="195"/>
      <c r="Q348" s="195"/>
      <c r="R348" s="195"/>
    </row>
    <row r="349" spans="3:18" s="177" customFormat="1" ht="17.100000000000001" hidden="1" customHeight="1" x14ac:dyDescent="0.3">
      <c r="C349" s="195"/>
      <c r="D349" s="195"/>
      <c r="E349" s="195"/>
      <c r="F349" s="195"/>
      <c r="G349" s="195"/>
      <c r="H349" s="195"/>
      <c r="I349" s="195"/>
      <c r="J349" s="195"/>
      <c r="K349" s="195"/>
      <c r="L349" s="195"/>
      <c r="M349" s="195"/>
      <c r="N349" s="195"/>
      <c r="O349" s="195"/>
      <c r="P349" s="195"/>
      <c r="Q349" s="195"/>
      <c r="R349" s="195"/>
    </row>
    <row r="350" spans="3:18" s="177" customFormat="1" ht="17.100000000000001" hidden="1" customHeight="1" x14ac:dyDescent="0.3">
      <c r="C350" s="195"/>
      <c r="D350" s="195"/>
      <c r="E350" s="195"/>
      <c r="F350" s="195"/>
      <c r="G350" s="195"/>
      <c r="H350" s="195"/>
      <c r="I350" s="195"/>
      <c r="J350" s="195"/>
      <c r="K350" s="195"/>
      <c r="L350" s="195"/>
      <c r="M350" s="195"/>
      <c r="N350" s="195"/>
      <c r="O350" s="195"/>
      <c r="P350" s="195"/>
      <c r="Q350" s="195"/>
      <c r="R350" s="195"/>
    </row>
    <row r="351" spans="3:18" s="177" customFormat="1" ht="17.100000000000001" hidden="1" customHeight="1" x14ac:dyDescent="0.3">
      <c r="C351" s="195"/>
      <c r="D351" s="195"/>
      <c r="E351" s="195"/>
      <c r="F351" s="195"/>
      <c r="G351" s="195"/>
      <c r="H351" s="195"/>
      <c r="I351" s="195"/>
      <c r="J351" s="195"/>
      <c r="K351" s="195"/>
      <c r="L351" s="195"/>
      <c r="M351" s="195"/>
      <c r="N351" s="195"/>
      <c r="O351" s="195"/>
      <c r="P351" s="195"/>
      <c r="Q351" s="195"/>
      <c r="R351" s="195"/>
    </row>
    <row r="352" spans="3:18" s="177" customFormat="1" ht="17.100000000000001" hidden="1" customHeight="1" x14ac:dyDescent="0.3">
      <c r="C352" s="195"/>
      <c r="D352" s="195"/>
      <c r="E352" s="195"/>
      <c r="F352" s="195"/>
      <c r="G352" s="195"/>
      <c r="H352" s="195"/>
      <c r="I352" s="195"/>
      <c r="J352" s="195"/>
      <c r="K352" s="195"/>
      <c r="L352" s="195"/>
      <c r="M352" s="195"/>
      <c r="N352" s="195"/>
      <c r="O352" s="195"/>
      <c r="P352" s="195"/>
      <c r="Q352" s="195"/>
      <c r="R352" s="195"/>
    </row>
    <row r="353" spans="3:18" s="177" customFormat="1" ht="17.100000000000001" hidden="1" customHeight="1" x14ac:dyDescent="0.3">
      <c r="C353" s="195"/>
      <c r="D353" s="195"/>
      <c r="E353" s="195"/>
      <c r="F353" s="195"/>
      <c r="G353" s="195"/>
      <c r="H353" s="195"/>
      <c r="I353" s="195"/>
      <c r="J353" s="195"/>
      <c r="K353" s="195"/>
      <c r="L353" s="195"/>
      <c r="M353" s="195"/>
      <c r="N353" s="195"/>
      <c r="O353" s="195"/>
      <c r="P353" s="195"/>
      <c r="Q353" s="195"/>
      <c r="R353" s="195"/>
    </row>
    <row r="354" spans="3:18" s="177" customFormat="1" ht="17.100000000000001" hidden="1" customHeight="1" x14ac:dyDescent="0.3">
      <c r="C354" s="195"/>
      <c r="D354" s="195"/>
      <c r="E354" s="195"/>
      <c r="F354" s="195"/>
      <c r="G354" s="195"/>
      <c r="H354" s="195"/>
      <c r="I354" s="195"/>
      <c r="J354" s="195"/>
      <c r="K354" s="195"/>
      <c r="L354" s="195"/>
      <c r="M354" s="195"/>
      <c r="N354" s="195"/>
      <c r="O354" s="195"/>
      <c r="P354" s="195"/>
      <c r="Q354" s="195"/>
      <c r="R354" s="195"/>
    </row>
    <row r="355" spans="3:18" s="177" customFormat="1" ht="17.100000000000001" hidden="1" customHeight="1" x14ac:dyDescent="0.3">
      <c r="C355" s="195"/>
      <c r="D355" s="195"/>
      <c r="E355" s="195"/>
      <c r="F355" s="195"/>
      <c r="G355" s="195"/>
      <c r="H355" s="195"/>
      <c r="I355" s="195"/>
      <c r="J355" s="195"/>
      <c r="K355" s="195"/>
      <c r="L355" s="195"/>
      <c r="M355" s="195"/>
      <c r="N355" s="195"/>
      <c r="O355" s="195"/>
      <c r="P355" s="195"/>
      <c r="Q355" s="195"/>
      <c r="R355" s="195"/>
    </row>
    <row r="356" spans="3:18" s="177" customFormat="1" ht="17.100000000000001" hidden="1" customHeight="1" x14ac:dyDescent="0.3">
      <c r="C356" s="195"/>
      <c r="D356" s="195"/>
      <c r="E356" s="195"/>
      <c r="F356" s="195"/>
      <c r="G356" s="195"/>
      <c r="H356" s="195"/>
      <c r="I356" s="195"/>
      <c r="J356" s="195"/>
      <c r="K356" s="195"/>
      <c r="L356" s="195"/>
      <c r="M356" s="195"/>
      <c r="N356" s="195"/>
      <c r="O356" s="195"/>
      <c r="P356" s="195"/>
      <c r="Q356" s="195"/>
      <c r="R356" s="195"/>
    </row>
    <row r="357" spans="3:18" s="177" customFormat="1" ht="17.100000000000001" hidden="1" customHeight="1" x14ac:dyDescent="0.3">
      <c r="C357" s="195"/>
      <c r="D357" s="195"/>
      <c r="E357" s="195"/>
      <c r="F357" s="195"/>
      <c r="G357" s="195"/>
      <c r="H357" s="195"/>
      <c r="I357" s="195"/>
      <c r="J357" s="195"/>
      <c r="K357" s="195"/>
      <c r="L357" s="195"/>
      <c r="M357" s="195"/>
      <c r="N357" s="195"/>
      <c r="O357" s="195"/>
      <c r="P357" s="195"/>
      <c r="Q357" s="195"/>
      <c r="R357" s="195"/>
    </row>
    <row r="358" spans="3:18" s="177" customFormat="1" ht="17.100000000000001" hidden="1" customHeight="1" x14ac:dyDescent="0.3">
      <c r="C358" s="195"/>
      <c r="D358" s="195"/>
      <c r="E358" s="195"/>
      <c r="F358" s="195"/>
      <c r="G358" s="195"/>
      <c r="H358" s="195"/>
      <c r="I358" s="195"/>
      <c r="J358" s="195"/>
      <c r="K358" s="195"/>
      <c r="L358" s="195"/>
      <c r="M358" s="195"/>
      <c r="N358" s="195"/>
      <c r="O358" s="195"/>
      <c r="P358" s="195"/>
      <c r="Q358" s="195"/>
      <c r="R358" s="195"/>
    </row>
    <row r="359" spans="3:18" s="177" customFormat="1" ht="17.100000000000001" hidden="1" customHeight="1" thickBot="1" x14ac:dyDescent="0.35">
      <c r="C359" s="195"/>
      <c r="D359" s="195"/>
      <c r="E359" s="195"/>
      <c r="F359" s="195"/>
      <c r="G359" s="195"/>
      <c r="H359" s="195"/>
      <c r="I359" s="195"/>
      <c r="J359" s="195"/>
      <c r="K359" s="195"/>
      <c r="L359" s="195"/>
      <c r="M359" s="195"/>
      <c r="N359" s="195"/>
      <c r="O359" s="195"/>
      <c r="P359" s="195"/>
      <c r="Q359" s="195"/>
      <c r="R359" s="195"/>
    </row>
    <row r="360" spans="3:18" s="177" customFormat="1" ht="17.100000000000001" hidden="1" customHeight="1" x14ac:dyDescent="0.3">
      <c r="C360" s="195"/>
      <c r="D360" s="195"/>
      <c r="E360" s="195"/>
      <c r="F360" s="195"/>
      <c r="G360" s="587" t="s">
        <v>330</v>
      </c>
      <c r="H360" s="588"/>
      <c r="I360" s="588"/>
      <c r="J360" s="588"/>
      <c r="K360" s="588"/>
      <c r="L360" s="588"/>
      <c r="M360" s="589"/>
      <c r="N360" s="195"/>
      <c r="O360" s="195"/>
      <c r="P360" s="195"/>
      <c r="Q360" s="195"/>
      <c r="R360" s="195"/>
    </row>
    <row r="361" spans="3:18" s="177" customFormat="1" ht="17.100000000000001" hidden="1" customHeight="1" x14ac:dyDescent="0.3">
      <c r="C361" s="195"/>
      <c r="D361" s="195"/>
      <c r="E361" s="195"/>
      <c r="F361" s="195"/>
      <c r="G361" s="275" t="s">
        <v>331</v>
      </c>
      <c r="H361" s="209" t="s">
        <v>332</v>
      </c>
      <c r="I361" s="209" t="s">
        <v>333</v>
      </c>
      <c r="J361" s="209" t="s">
        <v>334</v>
      </c>
      <c r="K361" s="209" t="s">
        <v>335</v>
      </c>
      <c r="L361" s="209" t="s">
        <v>336</v>
      </c>
      <c r="M361" s="210" t="s">
        <v>337</v>
      </c>
      <c r="N361" s="195"/>
      <c r="O361" s="434" t="s">
        <v>338</v>
      </c>
      <c r="P361" s="434" t="s">
        <v>339</v>
      </c>
      <c r="Q361" s="434" t="s">
        <v>12</v>
      </c>
      <c r="R361" s="434" t="s">
        <v>340</v>
      </c>
    </row>
    <row r="362" spans="3:18" s="177" customFormat="1" ht="17.100000000000001" hidden="1" customHeight="1" x14ac:dyDescent="0.3">
      <c r="C362" s="195"/>
      <c r="D362" s="195"/>
      <c r="E362" s="435" t="s">
        <v>341</v>
      </c>
      <c r="F362" s="195"/>
      <c r="G362" s="280" t="s">
        <v>141</v>
      </c>
      <c r="H362" s="281">
        <f>IFERROR(G134*FabricMapping!$J$72,0)*R362</f>
        <v>288</v>
      </c>
      <c r="I362" s="281">
        <f>IFERROR(H362*7,0)</f>
        <v>2016</v>
      </c>
      <c r="J362" s="281">
        <f>IFERROR((I362*52)/12,0)</f>
        <v>8736</v>
      </c>
      <c r="K362" s="282">
        <f>IFERROR(H362/$H$373,0)</f>
        <v>5.1607354047951831E-3</v>
      </c>
      <c r="L362" s="283" t="str">
        <f>IFERROR(VLOOKUP(H362,FabricMapping!$C$11:$F$21,4,1),0)</f>
        <v>F2</v>
      </c>
      <c r="M362" s="284">
        <f>IFERROR(H362/VLOOKUP(L362,FabricMapping!$F$11:$J$21,3,0),0)</f>
        <v>0.1</v>
      </c>
      <c r="N362" s="195"/>
      <c r="O362" s="434">
        <f>FabricMapping!J72</f>
        <v>1</v>
      </c>
      <c r="P362" s="434">
        <f>O362</f>
        <v>1</v>
      </c>
      <c r="Q362" s="434">
        <f>P362</f>
        <v>1</v>
      </c>
      <c r="R362" s="435" t="b">
        <f>OR(O362:Q362)</f>
        <v>1</v>
      </c>
    </row>
    <row r="363" spans="3:18" s="177" customFormat="1" ht="17.100000000000001" hidden="1" customHeight="1" x14ac:dyDescent="0.3">
      <c r="C363" s="195"/>
      <c r="D363" s="195"/>
      <c r="E363" s="435" t="s">
        <v>342</v>
      </c>
      <c r="F363" s="195"/>
      <c r="G363" s="280" t="s">
        <v>142</v>
      </c>
      <c r="H363" s="281">
        <f>IFERROR(G166*FabricMapping!$H$66,0)*R363</f>
        <v>134</v>
      </c>
      <c r="I363" s="281">
        <f>IFERROR(H363*7,0)</f>
        <v>938</v>
      </c>
      <c r="J363" s="281">
        <f>IFERROR((I363*52)/12,0)</f>
        <v>4064.6666666666665</v>
      </c>
      <c r="K363" s="282">
        <f>IFERROR(H363/$H$373,0)</f>
        <v>2.4011755008422034E-3</v>
      </c>
      <c r="L363" s="283" t="str">
        <f>IFERROR(VLOOKUP(H363,FabricMapping!$C$11:$F$21,4,1),0)</f>
        <v>F2</v>
      </c>
      <c r="M363" s="284">
        <f>IFERROR(H363/VLOOKUP(L363,FabricMapping!$F$11:$J$21,3,0),0)</f>
        <v>4.6527777777777779E-2</v>
      </c>
      <c r="N363" s="195"/>
      <c r="O363" s="434">
        <f>FabricMapping!H66</f>
        <v>1</v>
      </c>
      <c r="P363" s="434">
        <f>O363</f>
        <v>1</v>
      </c>
      <c r="Q363" s="434">
        <f>P363</f>
        <v>1</v>
      </c>
      <c r="R363" s="435" t="b">
        <f t="shared" ref="R363:R372" si="13">OR(O363:Q363)</f>
        <v>1</v>
      </c>
    </row>
    <row r="364" spans="3:18" s="177" customFormat="1" ht="17.100000000000001" hidden="1" customHeight="1" x14ac:dyDescent="0.3">
      <c r="C364" s="195"/>
      <c r="D364" s="195"/>
      <c r="E364" s="435" t="s">
        <v>343</v>
      </c>
      <c r="F364" s="195"/>
      <c r="G364" s="280" t="s">
        <v>143</v>
      </c>
      <c r="H364" s="281">
        <f>IFERROR(G80,0)*R364</f>
        <v>276</v>
      </c>
      <c r="I364" s="281">
        <f>IFERROR(H364*7,0)</f>
        <v>1932</v>
      </c>
      <c r="J364" s="281">
        <f>IFERROR((I364*52)/12,0)</f>
        <v>8372</v>
      </c>
      <c r="K364" s="282">
        <f>IFERROR(H364/$H$373,0)</f>
        <v>4.9457047629287171E-3</v>
      </c>
      <c r="L364" s="283" t="str">
        <f>IFERROR(VLOOKUP(H364,FabricMapping!$C$11:$F$21,4,1),0)</f>
        <v>F2</v>
      </c>
      <c r="M364" s="284">
        <f>IFERROR(H364/VLOOKUP(L364,FabricMapping!$F$11:$J$21,3,0),0)</f>
        <v>9.583333333333334E-2</v>
      </c>
      <c r="N364" s="195"/>
      <c r="O364" s="434">
        <f>IF(UserInputs!$D$4="Data Lakehouse",1,0)</f>
        <v>1</v>
      </c>
      <c r="P364" s="434">
        <f>IF(UserInputs!$D$4="Modern Data Warehouse",1,0)*ISNUMBER(SEARCH("*"&amp;P$361&amp;"*",$E364))</f>
        <v>0</v>
      </c>
      <c r="Q364" s="434">
        <f>IF(UserInputs!$D$4="Data Lakehouse-Spark only",1,0)*ISNUMBER(SEARCH("*"&amp;Q$361&amp;"*",$E364))</f>
        <v>0</v>
      </c>
      <c r="R364" s="435" t="b">
        <f t="shared" si="13"/>
        <v>1</v>
      </c>
    </row>
    <row r="365" spans="3:18" s="177" customFormat="1" ht="17.100000000000001" hidden="1" customHeight="1" x14ac:dyDescent="0.3">
      <c r="C365" s="195"/>
      <c r="D365" s="195"/>
      <c r="E365" s="435" t="s">
        <v>342</v>
      </c>
      <c r="F365" s="195"/>
      <c r="G365" s="280" t="s">
        <v>144</v>
      </c>
      <c r="H365" s="281">
        <f>IF(UserInputs!$D$4="Modern Data Warehouse",0,IFERROR(G105,0))*R365</f>
        <v>1348</v>
      </c>
      <c r="I365" s="281">
        <f>IFERROR(H365*7,0)</f>
        <v>9436</v>
      </c>
      <c r="J365" s="281">
        <f>IFERROR((I365*52)/12,0)</f>
        <v>40889.333333333336</v>
      </c>
      <c r="K365" s="282">
        <f>IFERROR(H365/$H$373,0)</f>
        <v>2.4155108769666343E-2</v>
      </c>
      <c r="L365" s="283" t="str">
        <f>IFERROR(VLOOKUP(H365,FabricMapping!$C$11:$F$21,4,1),0)</f>
        <v>F2</v>
      </c>
      <c r="M365" s="284">
        <f>IFERROR(H365/VLOOKUP(L365,FabricMapping!$F$11:$J$21,3,0),0)</f>
        <v>0.46805555555555556</v>
      </c>
      <c r="N365" s="195"/>
      <c r="O365" s="434">
        <f>IF(UserInputs!$D$4="Data Lakehouse",1,0)</f>
        <v>1</v>
      </c>
      <c r="P365" s="434">
        <f>IF(UserInputs!$D$4="Modern Data Warehouse",1,0)*ISNUMBER(SEARCH("*"&amp;P$361&amp;"*",$E365))</f>
        <v>0</v>
      </c>
      <c r="Q365" s="434">
        <f>IF(UserInputs!$D$4="Data Lakehouse-Spark only",1,0)*ISNUMBER(SEARCH("*"&amp;Q$361&amp;"*",$E365))</f>
        <v>0</v>
      </c>
      <c r="R365" s="435" t="b">
        <f t="shared" si="13"/>
        <v>1</v>
      </c>
    </row>
    <row r="366" spans="3:18" s="177" customFormat="1" ht="17.100000000000001" hidden="1" customHeight="1" x14ac:dyDescent="0.3">
      <c r="C366" s="195"/>
      <c r="D366" s="195"/>
      <c r="E366" s="435" t="s">
        <v>344</v>
      </c>
      <c r="F366" s="195"/>
      <c r="G366" s="280" t="s">
        <v>145</v>
      </c>
      <c r="H366" s="281">
        <f>IFERROR(G214,0)*R366</f>
        <v>30720</v>
      </c>
      <c r="I366" s="281">
        <f>IFERROR(H366*$G$3,0)</f>
        <v>153600</v>
      </c>
      <c r="J366" s="281">
        <f t="shared" ref="J366:J372" si="14">IFERROR((I366*52)/12,0)</f>
        <v>665600</v>
      </c>
      <c r="K366" s="282">
        <f>IFERROR(H366/$H$373,0)</f>
        <v>0.55047844317815287</v>
      </c>
      <c r="L366" s="283" t="str">
        <f>IFERROR(VLOOKUP(H366,FabricMapping!$C$11:$F$21,4,1),0)</f>
        <v>F32</v>
      </c>
      <c r="M366" s="284">
        <f>IFERROR(H366/VLOOKUP(L366,FabricMapping!$F$11:$J$21,3,0),0)</f>
        <v>0.66666666666666663</v>
      </c>
      <c r="N366" s="195"/>
      <c r="O366" s="434">
        <f>IF(UserInputs!$D$4="Data Lakehouse",1,0)</f>
        <v>1</v>
      </c>
      <c r="P366" s="434">
        <f>IF(UserInputs!$D$4="Modern Data Warehouse",1,0)*ISNUMBER(SEARCH("*"&amp;P$361&amp;"*",$E366))</f>
        <v>0</v>
      </c>
      <c r="Q366" s="434">
        <f>IF(UserInputs!$D$4="Data Lakehouse-Spark only",1,0)*ISNUMBER(SEARCH("*"&amp;Q$361&amp;"*",$E366))</f>
        <v>0</v>
      </c>
      <c r="R366" s="435" t="b">
        <f t="shared" si="13"/>
        <v>1</v>
      </c>
    </row>
    <row r="367" spans="3:18" s="177" customFormat="1" ht="17.100000000000001" hidden="1" customHeight="1" x14ac:dyDescent="0.3">
      <c r="C367" s="195"/>
      <c r="D367" s="195"/>
      <c r="E367" s="435" t="s">
        <v>344</v>
      </c>
      <c r="F367" s="195"/>
      <c r="G367" s="280" t="s">
        <v>146</v>
      </c>
      <c r="H367" s="281">
        <f>IFERROR(G230,0)*R367</f>
        <v>23040.000000000004</v>
      </c>
      <c r="I367" s="281">
        <f>IFERROR(H367*$G$3,0)</f>
        <v>115200.00000000001</v>
      </c>
      <c r="J367" s="281">
        <f t="shared" ref="J367" si="15">IFERROR((I367*52)/12,0)</f>
        <v>499200.00000000006</v>
      </c>
      <c r="K367" s="282">
        <f t="shared" ref="K367:K368" si="16">IFERROR(H367/$H$373,0)</f>
        <v>0.4128588323836147</v>
      </c>
      <c r="L367" s="283" t="str">
        <f>IFERROR(VLOOKUP(H367,FabricMapping!$C$11:$F$21,4,1),0)</f>
        <v>F32</v>
      </c>
      <c r="M367" s="284">
        <f>IFERROR(H367/VLOOKUP(L367,FabricMapping!$F$11:$J$21,3,0),0)</f>
        <v>0.50000000000000011</v>
      </c>
      <c r="N367" s="195"/>
      <c r="O367" s="434">
        <f>FabricMapping!O78</f>
        <v>1</v>
      </c>
      <c r="P367" s="434">
        <f>O367</f>
        <v>1</v>
      </c>
      <c r="Q367" s="434">
        <f>P367</f>
        <v>1</v>
      </c>
      <c r="R367" s="435" t="b">
        <f t="shared" si="13"/>
        <v>1</v>
      </c>
    </row>
    <row r="368" spans="3:18" s="177" customFormat="1" ht="16.5" hidden="1" customHeight="1" x14ac:dyDescent="0.3">
      <c r="C368" s="195"/>
      <c r="D368" s="195"/>
      <c r="E368" s="435" t="s">
        <v>343</v>
      </c>
      <c r="F368" s="195"/>
      <c r="G368" s="280" t="s">
        <v>147</v>
      </c>
      <c r="H368" s="281">
        <f>IFERROR(G193,0)*R368</f>
        <v>0</v>
      </c>
      <c r="I368" s="281">
        <f>IFERROR(H368*$G$3,0)</f>
        <v>0</v>
      </c>
      <c r="J368" s="281">
        <f t="shared" si="14"/>
        <v>0</v>
      </c>
      <c r="K368" s="282">
        <f t="shared" si="16"/>
        <v>0</v>
      </c>
      <c r="L368" s="283" t="str">
        <f>IFERROR(VLOOKUP(H368,FabricMapping!$C$11:$F$21,4,1),0)</f>
        <v>F2</v>
      </c>
      <c r="M368" s="284">
        <f>IFERROR(H368/VLOOKUP(L368,FabricMapping!$F$11:$J$21,3,0),0)</f>
        <v>0</v>
      </c>
      <c r="N368" s="195"/>
      <c r="O368" s="434">
        <f>IF(UserInputs!$D$4="Data Lakehouse",1,0)</f>
        <v>1</v>
      </c>
      <c r="P368" s="434">
        <f>IF(UserInputs!$D$4="Modern Data Warehouse",1,0)*ISNUMBER(SEARCH("*"&amp;P$361&amp;"*",$E368))</f>
        <v>0</v>
      </c>
      <c r="Q368" s="434">
        <f>IF(UserInputs!$D$4="Data Lakehouse-Spark only",1,0)*ISNUMBER(SEARCH("*"&amp;Q$361&amp;"*",$E368))</f>
        <v>0</v>
      </c>
      <c r="R368" s="435" t="b">
        <f t="shared" si="13"/>
        <v>1</v>
      </c>
    </row>
    <row r="369" spans="5:18" s="177" customFormat="1" ht="17.100000000000001" hidden="1" customHeight="1" x14ac:dyDescent="0.3">
      <c r="E369" s="435" t="s">
        <v>344</v>
      </c>
      <c r="F369" s="195"/>
      <c r="G369" s="280" t="s">
        <v>148</v>
      </c>
      <c r="H369" s="281">
        <f>IFERROR(G255,0)*R369</f>
        <v>0</v>
      </c>
      <c r="I369" s="281">
        <f>IFERROR(H369*$G$3,0)</f>
        <v>0</v>
      </c>
      <c r="J369" s="281">
        <f t="shared" si="14"/>
        <v>0</v>
      </c>
      <c r="K369" s="282">
        <f>IFERROR(H369/$H$373,0)</f>
        <v>0</v>
      </c>
      <c r="L369" s="283" t="str">
        <f>IFERROR(VLOOKUP(H369,FabricMapping!$C$11:$F$21,4,1),0)</f>
        <v>F2</v>
      </c>
      <c r="M369" s="284">
        <f>IFERROR(H369/VLOOKUP(L369,FabricMapping!$F$11:$J$21,3,0),0)</f>
        <v>0</v>
      </c>
      <c r="N369" s="195"/>
      <c r="O369" s="434">
        <f>FabricMapping!$J$84</f>
        <v>0</v>
      </c>
      <c r="P369" s="434">
        <f>O369</f>
        <v>0</v>
      </c>
      <c r="Q369" s="434">
        <f>P369</f>
        <v>0</v>
      </c>
      <c r="R369" s="435" t="b">
        <f t="shared" si="13"/>
        <v>0</v>
      </c>
    </row>
    <row r="370" spans="5:18" s="177" customFormat="1" ht="17.100000000000001" hidden="1" customHeight="1" x14ac:dyDescent="0.3">
      <c r="E370" s="435" t="s">
        <v>343</v>
      </c>
      <c r="F370" s="195"/>
      <c r="G370" s="280" t="s">
        <v>149</v>
      </c>
      <c r="H370" s="281">
        <f>K317*R370</f>
        <v>0</v>
      </c>
      <c r="I370" s="281">
        <f t="shared" ref="I370:I372" si="17">IFERROR(H370*7,0)</f>
        <v>0</v>
      </c>
      <c r="J370" s="281">
        <f t="shared" si="14"/>
        <v>0</v>
      </c>
      <c r="K370" s="282">
        <f t="shared" ref="K370:K371" si="18">IFERROR(H370/$H$373,0)</f>
        <v>0</v>
      </c>
      <c r="L370" s="283" t="str">
        <f>IFERROR(VLOOKUP(H370,FabricMapping!$C$11:$F$21,4,1),0)</f>
        <v>F2</v>
      </c>
      <c r="M370" s="284">
        <f>IFERROR(H370/VLOOKUP(L370,FabricMapping!$F$11:$J$21,3,0),0)</f>
        <v>0</v>
      </c>
      <c r="N370" s="195"/>
      <c r="O370" s="434">
        <f>IF(UserInputs!$D$4="Data Lakehouse",1,0)</f>
        <v>1</v>
      </c>
      <c r="P370" s="434">
        <f>IF(UserInputs!$D$4="Modern Data Warehouse",1,0)*ISNUMBER(SEARCH("*"&amp;P$361&amp;"*",$E370))</f>
        <v>0</v>
      </c>
      <c r="Q370" s="434">
        <f>IF(UserInputs!$D$4="Data Lakehouse-Spark only",1,0)*ISNUMBER(SEARCH("*"&amp;Q$361&amp;"*",$E370))</f>
        <v>0</v>
      </c>
      <c r="R370" s="435" t="b">
        <f t="shared" si="13"/>
        <v>1</v>
      </c>
    </row>
    <row r="371" spans="5:18" s="177" customFormat="1" ht="17.100000000000001" hidden="1" customHeight="1" x14ac:dyDescent="0.3">
      <c r="E371" s="435" t="s">
        <v>343</v>
      </c>
      <c r="F371" s="195"/>
      <c r="G371" s="280" t="s">
        <v>150</v>
      </c>
      <c r="H371" s="281">
        <f>K299*R371</f>
        <v>0</v>
      </c>
      <c r="I371" s="281">
        <f t="shared" si="17"/>
        <v>0</v>
      </c>
      <c r="J371" s="281">
        <f t="shared" si="14"/>
        <v>0</v>
      </c>
      <c r="K371" s="282">
        <f t="shared" si="18"/>
        <v>0</v>
      </c>
      <c r="L371" s="283" t="str">
        <f>IFERROR(VLOOKUP(H371,FabricMapping!$C$11:$F$21,4,1),0)</f>
        <v>F2</v>
      </c>
      <c r="M371" s="284">
        <f>IFERROR(H371/VLOOKUP(L371,FabricMapping!$F$11:$J$21,3,0),0)</f>
        <v>0</v>
      </c>
      <c r="N371" s="195"/>
      <c r="O371" s="434">
        <f>IF(UserInputs!$D$4="Data Lakehouse",1,0)</f>
        <v>1</v>
      </c>
      <c r="P371" s="434">
        <f>IF(UserInputs!$D$4="Modern Data Warehouse",1,0)*ISNUMBER(SEARCH("*"&amp;P$361&amp;"*",$E371))</f>
        <v>0</v>
      </c>
      <c r="Q371" s="434">
        <f>IF(UserInputs!$D$4="Data Lakehouse-Spark only",1,0)*ISNUMBER(SEARCH("*"&amp;Q$361&amp;"*",$E371))</f>
        <v>0</v>
      </c>
      <c r="R371" s="435" t="b">
        <f t="shared" si="13"/>
        <v>1</v>
      </c>
    </row>
    <row r="372" spans="5:18" s="177" customFormat="1" ht="17.100000000000001" hidden="1" customHeight="1" x14ac:dyDescent="0.3">
      <c r="E372" s="435" t="s">
        <v>343</v>
      </c>
      <c r="F372" s="195"/>
      <c r="G372" s="280" t="s">
        <v>151</v>
      </c>
      <c r="H372" s="281">
        <f>K311*R372</f>
        <v>0</v>
      </c>
      <c r="I372" s="281">
        <f t="shared" si="17"/>
        <v>0</v>
      </c>
      <c r="J372" s="281">
        <f t="shared" si="14"/>
        <v>0</v>
      </c>
      <c r="K372" s="282">
        <f>IFERROR(H372/$H$373,0)</f>
        <v>0</v>
      </c>
      <c r="L372" s="283" t="str">
        <f>IFERROR(VLOOKUP(H372,FabricMapping!$C$11:$F$21,4,1),0)</f>
        <v>F2</v>
      </c>
      <c r="M372" s="284">
        <f>IFERROR(H372/VLOOKUP(L372,FabricMapping!$F$11:$J$21,3,0),0)</f>
        <v>0</v>
      </c>
      <c r="N372" s="195"/>
      <c r="O372" s="434">
        <f>IF(UserInputs!$D$4="Data Lakehouse",1,0)</f>
        <v>1</v>
      </c>
      <c r="P372" s="434">
        <f>IF(UserInputs!$D$4="Modern Data Warehouse",1,0)*ISNUMBER(SEARCH("*"&amp;P$361&amp;"*",$E372))</f>
        <v>0</v>
      </c>
      <c r="Q372" s="434">
        <f>IF(UserInputs!$D$4="Data Lakehouse-Spark only",1,0)*ISNUMBER(SEARCH("*"&amp;Q$361&amp;"*",$E372))</f>
        <v>0</v>
      </c>
      <c r="R372" s="435" t="b">
        <f t="shared" si="13"/>
        <v>1</v>
      </c>
    </row>
    <row r="373" spans="5:18" s="177" customFormat="1" ht="17.100000000000001" hidden="1" customHeight="1" x14ac:dyDescent="0.3">
      <c r="E373" s="195"/>
      <c r="F373" s="195"/>
      <c r="G373" s="280" t="s">
        <v>345</v>
      </c>
      <c r="H373" s="281">
        <f>SUM(H362:H372)</f>
        <v>55806</v>
      </c>
      <c r="I373" s="281">
        <f>IFERROR(SUM(I362:I372),0)</f>
        <v>283122</v>
      </c>
      <c r="J373" s="281">
        <f>IFERROR(SUM(J362:J372),0)</f>
        <v>1226862</v>
      </c>
      <c r="K373" s="282"/>
      <c r="L373" s="285" t="str">
        <f>IFERROR(VLOOKUP(H373,FabricMapping!$C$11:$F$21,4,1),0)</f>
        <v>F64</v>
      </c>
      <c r="M373" s="286">
        <f>IFERROR(H373/VLOOKUP(L373,FabricMapping!$F$11:$J$21,3,0),0)</f>
        <v>0.60553385416666672</v>
      </c>
      <c r="N373" s="195"/>
      <c r="O373" s="195"/>
      <c r="P373" s="195"/>
      <c r="Q373" s="195"/>
      <c r="R373" s="195"/>
    </row>
    <row r="374" spans="5:18" s="177" customFormat="1" ht="17.100000000000001" hidden="1" customHeight="1" x14ac:dyDescent="0.3">
      <c r="E374" s="195"/>
      <c r="F374" s="195"/>
      <c r="G374" s="280"/>
      <c r="H374" s="287"/>
      <c r="I374" s="287"/>
      <c r="J374" s="287"/>
      <c r="K374" s="282"/>
      <c r="L374" s="283"/>
      <c r="M374" s="288"/>
      <c r="N374" s="195"/>
      <c r="O374" s="195"/>
      <c r="P374" s="195"/>
      <c r="Q374" s="195"/>
      <c r="R374" s="195"/>
    </row>
    <row r="375" spans="5:18" s="177" customFormat="1" ht="17.100000000000001" hidden="1" customHeight="1" x14ac:dyDescent="0.3">
      <c r="E375" s="195"/>
      <c r="F375" s="195"/>
      <c r="G375" s="280" t="s">
        <v>346</v>
      </c>
      <c r="H375" s="287" t="str">
        <f>IFERROR(VLOOKUP(H373,FabricMapping!$C$11:$F$21,4,1),0)</f>
        <v>F64</v>
      </c>
      <c r="I375" s="287" t="str">
        <f>IFERROR(VLOOKUP(I373,FabricMapping!$D$11:$F$21,3,1),0)</f>
        <v>F32</v>
      </c>
      <c r="J375" s="287" t="str">
        <f>IFERROR(VLOOKUP(J373,FabricMapping!$E$11:$F$21,2,1),0)</f>
        <v>F32</v>
      </c>
      <c r="K375" s="287"/>
      <c r="L375" s="287"/>
      <c r="M375" s="288"/>
      <c r="N375" s="195"/>
      <c r="O375" s="195"/>
      <c r="P375" s="195"/>
      <c r="Q375" s="195"/>
      <c r="R375" s="195"/>
    </row>
    <row r="376" spans="5:18" s="177" customFormat="1" ht="17.100000000000001" hidden="1" customHeight="1" thickBot="1" x14ac:dyDescent="0.35">
      <c r="E376" s="195"/>
      <c r="F376" s="195"/>
      <c r="G376" s="289" t="s">
        <v>347</v>
      </c>
      <c r="H376" s="290">
        <f>IFERROR(H373/VLOOKUP(H375,FabricMapping!$F$11:$J$21,3,0),0)</f>
        <v>0.60553385416666672</v>
      </c>
      <c r="I376" s="290">
        <f>IFERROR(I373/VLOOKUP(I375,FabricMapping!$F$11:$J$21,4,0),0)</f>
        <v>0.87773437499999996</v>
      </c>
      <c r="J376" s="290">
        <f>IFERROR(J373/VLOOKUP(J375,FabricMapping!$F$11:$J$21,5,0),0)</f>
        <v>0.87773437499999996</v>
      </c>
      <c r="K376" s="291"/>
      <c r="L376" s="291"/>
      <c r="M376" s="292"/>
      <c r="N376" s="195"/>
      <c r="O376" s="195"/>
      <c r="P376" s="195"/>
      <c r="Q376" s="195"/>
      <c r="R376" s="195"/>
    </row>
    <row r="377" spans="5:18" s="177" customFormat="1" ht="17.100000000000001" hidden="1" customHeight="1" x14ac:dyDescent="0.3">
      <c r="E377" s="195"/>
      <c r="F377" s="195"/>
      <c r="G377" s="49"/>
      <c r="H377" s="49"/>
      <c r="I377" s="49"/>
      <c r="J377" s="49"/>
      <c r="K377" s="49"/>
      <c r="L377" s="49"/>
      <c r="M377" s="49"/>
      <c r="N377" s="195"/>
      <c r="O377" s="195"/>
      <c r="P377" s="195"/>
      <c r="Q377" s="195"/>
      <c r="R377" s="195"/>
    </row>
    <row r="378" spans="5:18" s="177" customFormat="1" ht="17.100000000000001" hidden="1" customHeight="1" x14ac:dyDescent="0.3">
      <c r="E378" s="195"/>
      <c r="F378" s="195"/>
      <c r="G378" s="195"/>
      <c r="H378" s="195"/>
      <c r="I378" s="195"/>
      <c r="J378" s="195"/>
      <c r="K378" s="195"/>
      <c r="L378" s="195"/>
      <c r="M378" s="195"/>
      <c r="N378" s="195"/>
      <c r="O378" s="195"/>
      <c r="P378" s="195"/>
      <c r="Q378" s="195"/>
      <c r="R378" s="195"/>
    </row>
    <row r="379" spans="5:18" s="177" customFormat="1" ht="17.100000000000001" hidden="1" customHeight="1" x14ac:dyDescent="0.3">
      <c r="E379" s="195"/>
      <c r="F379" s="195"/>
      <c r="G379" s="195"/>
      <c r="H379" s="195"/>
      <c r="I379" s="195"/>
      <c r="J379" s="195"/>
      <c r="K379" s="195"/>
      <c r="L379" s="195"/>
      <c r="M379" s="195"/>
      <c r="N379" s="195"/>
      <c r="O379" s="195"/>
      <c r="P379" s="195"/>
      <c r="Q379" s="195"/>
      <c r="R379" s="195"/>
    </row>
    <row r="380" spans="5:18" s="177" customFormat="1" ht="17.100000000000001" hidden="1" customHeight="1" x14ac:dyDescent="0.3">
      <c r="E380" s="195"/>
      <c r="F380" s="195"/>
      <c r="G380" s="195"/>
      <c r="H380" s="195"/>
      <c r="I380" s="195"/>
      <c r="J380" s="195"/>
      <c r="K380" s="195"/>
      <c r="L380" s="195"/>
      <c r="M380" s="195"/>
      <c r="N380" s="195"/>
      <c r="O380" s="195"/>
      <c r="P380" s="195"/>
      <c r="Q380" s="195"/>
      <c r="R380" s="195"/>
    </row>
    <row r="381" spans="5:18" s="177" customFormat="1" ht="17.100000000000001" hidden="1" customHeight="1" x14ac:dyDescent="0.3">
      <c r="E381" s="195"/>
      <c r="F381" s="195"/>
      <c r="G381" s="195"/>
      <c r="H381" s="195"/>
      <c r="I381" s="195"/>
      <c r="J381" s="195"/>
      <c r="K381" s="195"/>
      <c r="L381" s="195"/>
      <c r="M381" s="195"/>
      <c r="N381" s="195"/>
      <c r="O381" s="195"/>
      <c r="P381" s="195"/>
      <c r="Q381" s="195"/>
      <c r="R381" s="195"/>
    </row>
    <row r="382" spans="5:18" s="177" customFormat="1" ht="17.100000000000001" hidden="1" customHeight="1" x14ac:dyDescent="0.3">
      <c r="E382" s="195"/>
      <c r="F382" s="195"/>
      <c r="G382" s="195"/>
      <c r="H382" s="195"/>
      <c r="I382" s="195"/>
      <c r="J382" s="195"/>
      <c r="K382" s="195"/>
      <c r="L382" s="195"/>
      <c r="M382" s="195"/>
      <c r="N382" s="195"/>
      <c r="O382" s="195"/>
      <c r="P382" s="195"/>
      <c r="Q382" s="195"/>
      <c r="R382" s="195"/>
    </row>
    <row r="383" spans="5:18" s="177" customFormat="1" ht="17.100000000000001" hidden="1" customHeight="1" x14ac:dyDescent="0.3">
      <c r="E383" s="195"/>
      <c r="F383" s="195"/>
      <c r="G383" s="435" t="s">
        <v>348</v>
      </c>
      <c r="H383" s="435" t="s">
        <v>336</v>
      </c>
      <c r="I383" s="435" t="s">
        <v>228</v>
      </c>
      <c r="J383" s="436" t="s">
        <v>349</v>
      </c>
      <c r="K383" s="436" t="s">
        <v>350</v>
      </c>
      <c r="L383" s="436" t="s">
        <v>351</v>
      </c>
      <c r="M383" s="436" t="s">
        <v>352</v>
      </c>
      <c r="N383" s="436" t="s">
        <v>353</v>
      </c>
      <c r="O383" s="195"/>
      <c r="P383" s="195"/>
      <c r="Q383" s="195"/>
      <c r="R383" s="195"/>
    </row>
    <row r="384" spans="5:18" s="177" customFormat="1" ht="17.100000000000001" hidden="1" customHeight="1" x14ac:dyDescent="0.3">
      <c r="E384" s="195"/>
      <c r="F384" s="195"/>
      <c r="G384" s="435" t="str">
        <f>G362</f>
        <v>Data Model - DW</v>
      </c>
      <c r="H384" s="435" t="str">
        <f>L362</f>
        <v>F2</v>
      </c>
      <c r="I384" s="437">
        <f>M362</f>
        <v>0.1</v>
      </c>
      <c r="J384" s="438">
        <f>1-I384</f>
        <v>0.9</v>
      </c>
      <c r="K384" s="438">
        <v>0.2</v>
      </c>
      <c r="L384" s="438">
        <v>0.15</v>
      </c>
      <c r="M384" s="438">
        <v>0.05</v>
      </c>
      <c r="N384" s="438">
        <v>0.02</v>
      </c>
      <c r="O384" s="195"/>
      <c r="P384" s="195"/>
      <c r="Q384" s="195"/>
      <c r="R384" s="195"/>
    </row>
    <row r="385" spans="5:18" s="177" customFormat="1" ht="17.100000000000001" hidden="1" customHeight="1" x14ac:dyDescent="0.3">
      <c r="E385" s="195"/>
      <c r="F385" s="195"/>
      <c r="G385" s="435" t="str">
        <f>G363</f>
        <v>Data Model - LH</v>
      </c>
      <c r="H385" s="435" t="str">
        <f t="shared" ref="H385:I385" si="19">L363</f>
        <v>F2</v>
      </c>
      <c r="I385" s="437">
        <f t="shared" si="19"/>
        <v>4.6527777777777779E-2</v>
      </c>
      <c r="J385" s="438">
        <f t="shared" ref="J385:J391" si="20">1-I385</f>
        <v>0.95347222222222228</v>
      </c>
      <c r="K385" s="438">
        <v>0.2</v>
      </c>
      <c r="L385" s="438">
        <v>0.15</v>
      </c>
      <c r="M385" s="438">
        <v>0.05</v>
      </c>
      <c r="N385" s="438">
        <v>0.02</v>
      </c>
      <c r="O385" s="195"/>
      <c r="P385" s="195"/>
      <c r="Q385" s="195"/>
      <c r="R385" s="195"/>
    </row>
    <row r="386" spans="5:18" s="177" customFormat="1" ht="17.100000000000001" hidden="1" customHeight="1" x14ac:dyDescent="0.3">
      <c r="E386" s="195"/>
      <c r="F386" s="195"/>
      <c r="G386" s="435" t="str">
        <f>G364</f>
        <v>Data Engineering - Data Factory</v>
      </c>
      <c r="H386" s="435" t="str">
        <f t="shared" ref="H386:I386" si="21">L364</f>
        <v>F2</v>
      </c>
      <c r="I386" s="437">
        <f t="shared" si="21"/>
        <v>9.583333333333334E-2</v>
      </c>
      <c r="J386" s="438">
        <f t="shared" si="20"/>
        <v>0.90416666666666667</v>
      </c>
      <c r="K386" s="438">
        <v>0.2</v>
      </c>
      <c r="L386" s="438">
        <v>0.15</v>
      </c>
      <c r="M386" s="438">
        <v>0.05</v>
      </c>
      <c r="N386" s="438">
        <v>0.02</v>
      </c>
      <c r="O386" s="195"/>
      <c r="P386" s="195"/>
      <c r="Q386" s="195"/>
      <c r="R386" s="195"/>
    </row>
    <row r="387" spans="5:18" s="177" customFormat="1" ht="17.100000000000001" hidden="1" customHeight="1" x14ac:dyDescent="0.3">
      <c r="E387" s="195"/>
      <c r="F387" s="195"/>
      <c r="G387" s="435" t="str">
        <f>G365</f>
        <v>Data Engineering - Spark</v>
      </c>
      <c r="H387" s="435" t="str">
        <f t="shared" ref="H387:I387" si="22">L365</f>
        <v>F2</v>
      </c>
      <c r="I387" s="437">
        <f t="shared" si="22"/>
        <v>0.46805555555555556</v>
      </c>
      <c r="J387" s="438">
        <f t="shared" si="20"/>
        <v>0.53194444444444444</v>
      </c>
      <c r="K387" s="438">
        <v>0.2</v>
      </c>
      <c r="L387" s="438">
        <v>0.15</v>
      </c>
      <c r="M387" s="438">
        <v>0.05</v>
      </c>
      <c r="N387" s="438">
        <v>0.02</v>
      </c>
      <c r="O387" s="195"/>
      <c r="P387" s="195"/>
      <c r="Q387" s="195"/>
      <c r="R387" s="195"/>
    </row>
    <row r="388" spans="5:18" s="177" customFormat="1" ht="17.100000000000001" hidden="1" customHeight="1" x14ac:dyDescent="0.3">
      <c r="E388" s="195"/>
      <c r="F388" s="195"/>
      <c r="G388" s="435" t="str">
        <f>G366</f>
        <v>Power BI</v>
      </c>
      <c r="H388" s="435" t="str">
        <f t="shared" ref="H388:I388" si="23">L366</f>
        <v>F32</v>
      </c>
      <c r="I388" s="437">
        <f t="shared" si="23"/>
        <v>0.66666666666666663</v>
      </c>
      <c r="J388" s="438">
        <f t="shared" si="20"/>
        <v>0.33333333333333337</v>
      </c>
      <c r="K388" s="438">
        <v>0.2</v>
      </c>
      <c r="L388" s="438">
        <v>0.15</v>
      </c>
      <c r="M388" s="438">
        <v>0.05</v>
      </c>
      <c r="N388" s="438">
        <v>0.02</v>
      </c>
      <c r="O388" s="195"/>
      <c r="P388" s="195"/>
      <c r="Q388" s="195"/>
      <c r="R388" s="195"/>
    </row>
    <row r="389" spans="5:18" s="177" customFormat="1" ht="17.100000000000001" hidden="1" customHeight="1" x14ac:dyDescent="0.3">
      <c r="E389" s="195"/>
      <c r="F389" s="195"/>
      <c r="G389" s="435" t="str">
        <f t="shared" ref="G389:G390" si="24">G368</f>
        <v>Ad-Hoc Lakehouse SQL</v>
      </c>
      <c r="H389" s="435" t="str">
        <f t="shared" ref="H389:I389" si="25">L368</f>
        <v>F2</v>
      </c>
      <c r="I389" s="437">
        <f t="shared" si="25"/>
        <v>0</v>
      </c>
      <c r="J389" s="438">
        <f t="shared" si="20"/>
        <v>1</v>
      </c>
      <c r="K389" s="438">
        <v>0.2</v>
      </c>
      <c r="L389" s="438">
        <v>0.15</v>
      </c>
      <c r="M389" s="438">
        <v>0.05</v>
      </c>
      <c r="N389" s="438">
        <v>0.02</v>
      </c>
      <c r="O389" s="195"/>
      <c r="P389" s="195"/>
      <c r="Q389" s="195"/>
      <c r="R389" s="195"/>
    </row>
    <row r="390" spans="5:18" s="177" customFormat="1" ht="17.100000000000001" hidden="1" customHeight="1" x14ac:dyDescent="0.3">
      <c r="E390" s="195"/>
      <c r="F390" s="195"/>
      <c r="G390" s="435" t="str">
        <f t="shared" si="24"/>
        <v>Data Science Experiments</v>
      </c>
      <c r="H390" s="435" t="str">
        <f t="shared" ref="H390:I390" si="26">L369</f>
        <v>F2</v>
      </c>
      <c r="I390" s="437">
        <f t="shared" si="26"/>
        <v>0</v>
      </c>
      <c r="J390" s="438">
        <f t="shared" si="20"/>
        <v>1</v>
      </c>
      <c r="K390" s="438">
        <v>0.2</v>
      </c>
      <c r="L390" s="438">
        <v>0.15</v>
      </c>
      <c r="M390" s="438">
        <v>0.05</v>
      </c>
      <c r="N390" s="438">
        <v>0.02</v>
      </c>
      <c r="O390" s="195"/>
      <c r="P390" s="195"/>
      <c r="Q390" s="195"/>
      <c r="R390" s="195"/>
    </row>
    <row r="391" spans="5:18" s="177" customFormat="1" ht="17.100000000000001" hidden="1" customHeight="1" x14ac:dyDescent="0.3">
      <c r="E391" s="195"/>
      <c r="F391" s="195"/>
      <c r="G391" s="435" t="str">
        <f t="shared" ref="G391" si="27">G372</f>
        <v>KQL DB</v>
      </c>
      <c r="H391" s="435" t="str">
        <f t="shared" ref="H391:I391" si="28">L372</f>
        <v>F2</v>
      </c>
      <c r="I391" s="437">
        <f t="shared" si="28"/>
        <v>0</v>
      </c>
      <c r="J391" s="438">
        <f t="shared" si="20"/>
        <v>1</v>
      </c>
      <c r="K391" s="438">
        <v>0.2</v>
      </c>
      <c r="L391" s="438">
        <v>0.15</v>
      </c>
      <c r="M391" s="438">
        <v>0.05</v>
      </c>
      <c r="N391" s="438">
        <v>0.02</v>
      </c>
      <c r="O391" s="195"/>
      <c r="P391" s="195"/>
      <c r="Q391" s="195"/>
      <c r="R391" s="195"/>
    </row>
    <row r="392" spans="5:18" s="177" customFormat="1" ht="17.100000000000001" hidden="1" customHeight="1" x14ac:dyDescent="0.3">
      <c r="E392" s="195"/>
      <c r="F392" s="195"/>
      <c r="G392" s="49"/>
      <c r="H392" s="49"/>
      <c r="I392" s="49"/>
      <c r="J392" s="195"/>
      <c r="K392" s="195"/>
      <c r="L392" s="195"/>
      <c r="M392" s="195"/>
      <c r="N392" s="195"/>
      <c r="O392" s="195"/>
      <c r="P392" s="195"/>
      <c r="Q392" s="195"/>
      <c r="R392" s="195"/>
    </row>
    <row r="393" spans="5:18" s="177" customFormat="1" ht="17.100000000000001" hidden="1" customHeight="1" x14ac:dyDescent="0.3">
      <c r="E393" s="195"/>
      <c r="F393" s="195"/>
      <c r="G393" s="49"/>
      <c r="H393" s="49"/>
      <c r="I393" s="49"/>
      <c r="J393" s="195"/>
      <c r="K393" s="195"/>
      <c r="L393" s="195"/>
      <c r="M393" s="195"/>
      <c r="N393" s="195"/>
      <c r="O393" s="195"/>
      <c r="P393" s="195"/>
      <c r="Q393" s="195"/>
      <c r="R393" s="195"/>
    </row>
    <row r="394" spans="5:18" s="177" customFormat="1" ht="17.100000000000001" hidden="1" customHeight="1" x14ac:dyDescent="0.3">
      <c r="E394" s="195"/>
      <c r="F394" s="195"/>
      <c r="G394" s="49"/>
      <c r="H394" s="49"/>
      <c r="I394" s="49"/>
      <c r="J394" s="195"/>
      <c r="K394" s="195"/>
      <c r="L394" s="195"/>
      <c r="M394" s="195"/>
      <c r="N394" s="195"/>
      <c r="O394" s="195"/>
      <c r="P394" s="195"/>
      <c r="Q394" s="195"/>
      <c r="R394" s="195"/>
    </row>
    <row r="395" spans="5:18" s="177" customFormat="1" ht="17.100000000000001" hidden="1" customHeight="1" x14ac:dyDescent="0.3">
      <c r="E395" s="195"/>
      <c r="F395" s="195"/>
      <c r="G395" s="49"/>
      <c r="H395" s="49"/>
      <c r="I395" s="49"/>
      <c r="J395" s="195"/>
      <c r="K395" s="195"/>
      <c r="L395" s="195"/>
      <c r="M395" s="195"/>
      <c r="N395" s="195"/>
      <c r="O395" s="195"/>
      <c r="P395" s="195"/>
      <c r="Q395" s="195"/>
      <c r="R395" s="195"/>
    </row>
    <row r="396" spans="5:18" s="177" customFormat="1" ht="17.100000000000001" hidden="1" customHeight="1" x14ac:dyDescent="0.3">
      <c r="E396" s="195"/>
      <c r="F396" s="195"/>
      <c r="G396" s="195"/>
      <c r="H396" s="195"/>
      <c r="I396" s="195"/>
      <c r="J396" s="195"/>
      <c r="K396" s="195"/>
      <c r="L396" s="195"/>
      <c r="M396" s="195"/>
      <c r="N396" s="195"/>
      <c r="O396" s="195"/>
      <c r="P396" s="195"/>
      <c r="Q396" s="195"/>
      <c r="R396" s="195"/>
    </row>
    <row r="397" spans="5:18" s="177" customFormat="1" ht="17.100000000000001" hidden="1" customHeight="1" x14ac:dyDescent="0.3">
      <c r="E397" s="195"/>
      <c r="F397" s="195"/>
      <c r="G397" s="195"/>
      <c r="H397" s="195"/>
      <c r="I397" s="195"/>
      <c r="J397" s="195"/>
      <c r="K397" s="195"/>
      <c r="L397" s="195"/>
      <c r="M397" s="195"/>
      <c r="N397" s="195"/>
      <c r="O397" s="195"/>
      <c r="P397" s="195"/>
      <c r="Q397" s="195"/>
      <c r="R397" s="195"/>
    </row>
    <row r="398" spans="5:18" s="177" customFormat="1" ht="17.100000000000001" hidden="1" customHeight="1" x14ac:dyDescent="0.3">
      <c r="E398" s="195"/>
      <c r="F398" s="195"/>
      <c r="G398" s="195"/>
      <c r="H398" s="195"/>
      <c r="I398" s="195"/>
      <c r="J398" s="195"/>
      <c r="K398" s="195"/>
      <c r="L398" s="195"/>
      <c r="M398" s="195"/>
      <c r="N398" s="195"/>
      <c r="O398" s="195"/>
      <c r="P398" s="195"/>
      <c r="Q398" s="195"/>
      <c r="R398" s="195"/>
    </row>
    <row r="399" spans="5:18" s="177" customFormat="1" ht="17.100000000000001" hidden="1" customHeight="1" x14ac:dyDescent="0.3">
      <c r="E399" s="195"/>
      <c r="F399" s="195"/>
      <c r="G399" s="195"/>
      <c r="H399" s="195"/>
      <c r="I399" s="195"/>
      <c r="J399" s="195"/>
      <c r="K399" s="195"/>
      <c r="L399" s="195"/>
      <c r="M399" s="195"/>
      <c r="N399" s="195"/>
      <c r="O399" s="195"/>
      <c r="P399" s="195"/>
      <c r="Q399" s="195"/>
      <c r="R399" s="195"/>
    </row>
    <row r="400" spans="5:18" s="177" customFormat="1" ht="17.100000000000001" hidden="1" customHeight="1" x14ac:dyDescent="0.3">
      <c r="E400" s="195"/>
      <c r="F400" s="195"/>
      <c r="G400" s="195"/>
      <c r="H400" s="195"/>
      <c r="I400" s="195"/>
      <c r="J400" s="195"/>
      <c r="K400" s="195"/>
      <c r="L400" s="195"/>
      <c r="M400" s="195"/>
      <c r="N400" s="195"/>
      <c r="O400" s="195"/>
      <c r="P400" s="195"/>
      <c r="Q400" s="195"/>
      <c r="R400" s="195"/>
    </row>
    <row r="401" spans="7:14" s="177" customFormat="1" ht="17.100000000000001" hidden="1" customHeight="1" x14ac:dyDescent="0.3">
      <c r="G401" s="195"/>
      <c r="H401" s="195"/>
      <c r="I401" s="195"/>
      <c r="J401" s="195"/>
      <c r="K401" s="195"/>
      <c r="L401" s="195"/>
      <c r="M401" s="195"/>
      <c r="N401" s="195"/>
    </row>
    <row r="402" spans="7:14" s="177" customFormat="1" ht="17.100000000000001" hidden="1" customHeight="1" x14ac:dyDescent="0.3">
      <c r="G402" s="195"/>
      <c r="H402" s="195"/>
      <c r="I402" s="195"/>
      <c r="J402" s="195"/>
      <c r="K402" s="195"/>
      <c r="L402" s="195"/>
      <c r="M402" s="195"/>
      <c r="N402" s="195"/>
    </row>
    <row r="403" spans="7:14" s="177" customFormat="1" ht="17.100000000000001" hidden="1" customHeight="1" x14ac:dyDescent="0.3">
      <c r="G403" s="195"/>
      <c r="H403" s="195"/>
      <c r="I403" s="195"/>
      <c r="J403" s="195"/>
      <c r="K403" s="195"/>
      <c r="L403" s="195"/>
      <c r="M403" s="195"/>
      <c r="N403" s="195"/>
    </row>
    <row r="404" spans="7:14" s="177" customFormat="1" ht="17.100000000000001" hidden="1" customHeight="1" x14ac:dyDescent="0.3">
      <c r="G404" s="195"/>
      <c r="H404" s="195"/>
      <c r="I404" s="195"/>
      <c r="J404" s="195"/>
      <c r="K404" s="195"/>
      <c r="L404" s="195"/>
      <c r="M404" s="195"/>
      <c r="N404" s="195"/>
    </row>
    <row r="405" spans="7:14" s="177" customFormat="1" ht="17.100000000000001" hidden="1" customHeight="1" x14ac:dyDescent="0.3">
      <c r="G405" s="195"/>
      <c r="H405" s="195"/>
      <c r="I405" s="195"/>
      <c r="J405" s="195"/>
      <c r="K405" s="195"/>
      <c r="L405" s="195"/>
      <c r="M405" s="195"/>
      <c r="N405" s="195"/>
    </row>
    <row r="406" spans="7:14" s="177" customFormat="1" ht="17.100000000000001" hidden="1" customHeight="1" x14ac:dyDescent="0.3">
      <c r="G406" s="195"/>
      <c r="H406" s="195"/>
      <c r="I406" s="195"/>
      <c r="J406" s="195"/>
      <c r="K406" s="195"/>
      <c r="L406" s="195"/>
      <c r="M406" s="195"/>
      <c r="N406" s="195"/>
    </row>
    <row r="407" spans="7:14" s="177" customFormat="1" ht="17.100000000000001" hidden="1" customHeight="1" x14ac:dyDescent="0.3">
      <c r="G407" s="195"/>
      <c r="H407" s="195"/>
      <c r="I407" s="195"/>
      <c r="J407" s="195"/>
      <c r="K407" s="195"/>
      <c r="L407" s="195"/>
      <c r="M407" s="195"/>
      <c r="N407" s="195"/>
    </row>
    <row r="408" spans="7:14" s="177" customFormat="1" ht="17.100000000000001" hidden="1" customHeight="1" x14ac:dyDescent="0.3">
      <c r="G408" s="195"/>
      <c r="H408" s="195"/>
      <c r="I408" s="195"/>
      <c r="J408" s="195"/>
      <c r="K408" s="195"/>
      <c r="L408" s="195"/>
      <c r="M408" s="195"/>
      <c r="N408" s="195"/>
    </row>
    <row r="409" spans="7:14" s="177" customFormat="1" ht="17.100000000000001" hidden="1" customHeight="1" x14ac:dyDescent="0.3">
      <c r="G409" s="195"/>
      <c r="H409" s="195"/>
      <c r="I409" s="195"/>
      <c r="J409" s="195"/>
      <c r="K409" s="195"/>
      <c r="L409" s="195"/>
      <c r="M409" s="195"/>
      <c r="N409" s="195"/>
    </row>
    <row r="410" spans="7:14" s="177" customFormat="1" ht="17.100000000000001" hidden="1" customHeight="1" x14ac:dyDescent="0.3">
      <c r="G410" s="195"/>
      <c r="H410" s="195"/>
      <c r="I410" s="195"/>
      <c r="J410" s="195"/>
      <c r="K410" s="195"/>
      <c r="L410" s="195"/>
      <c r="M410" s="195"/>
      <c r="N410" s="195"/>
    </row>
    <row r="411" spans="7:14" s="177" customFormat="1" ht="17.100000000000001" hidden="1" customHeight="1" x14ac:dyDescent="0.3">
      <c r="G411" s="195"/>
      <c r="H411" s="195"/>
      <c r="I411" s="195"/>
      <c r="J411" s="195"/>
      <c r="K411" s="195"/>
      <c r="L411" s="195"/>
      <c r="M411" s="195"/>
      <c r="N411" s="195"/>
    </row>
    <row r="412" spans="7:14" s="177" customFormat="1" ht="17.100000000000001" hidden="1" customHeight="1" x14ac:dyDescent="0.3">
      <c r="G412" s="195"/>
      <c r="H412" s="195"/>
      <c r="I412" s="195"/>
      <c r="J412" s="195"/>
      <c r="K412" s="195"/>
      <c r="L412" s="195"/>
      <c r="M412" s="195"/>
      <c r="N412" s="195"/>
    </row>
    <row r="413" spans="7:14" s="177" customFormat="1" ht="17.100000000000001" hidden="1" customHeight="1" x14ac:dyDescent="0.3">
      <c r="G413" s="195"/>
      <c r="H413" s="195"/>
      <c r="I413" s="195"/>
      <c r="J413" s="195"/>
      <c r="K413" s="195"/>
      <c r="L413" s="195"/>
      <c r="M413" s="195"/>
      <c r="N413" s="195"/>
    </row>
    <row r="414" spans="7:14" s="177" customFormat="1" ht="17.100000000000001" hidden="1" customHeight="1" x14ac:dyDescent="0.3">
      <c r="G414" s="195"/>
      <c r="H414" s="195"/>
      <c r="I414" s="195"/>
      <c r="J414" s="195"/>
      <c r="K414" s="195"/>
      <c r="L414" s="195"/>
      <c r="M414" s="195"/>
      <c r="N414" s="195"/>
    </row>
  </sheetData>
  <sheetProtection algorithmName="SHA-512" hashValue="7Up6jB9QJt2Td6kQcs1Wwa4TTaeeDA+c4V9XRIXBQYx+qS2NQzIug1sjTivOoSrA00b4lHOSXrVuh12esrTX8Q==" saltValue="V9mR6X6j5SFU65/Wwo4hSA==" spinCount="100000" sheet="1" formatCells="0" formatColumns="0" formatRows="0"/>
  <mergeCells count="89">
    <mergeCell ref="G49:K49"/>
    <mergeCell ref="J53:K53"/>
    <mergeCell ref="J54:K54"/>
    <mergeCell ref="J55:K55"/>
    <mergeCell ref="H54:I54"/>
    <mergeCell ref="H55:I55"/>
    <mergeCell ref="H53:I53"/>
    <mergeCell ref="E42:E55"/>
    <mergeCell ref="J149:K149"/>
    <mergeCell ref="J150:K150"/>
    <mergeCell ref="E61:K61"/>
    <mergeCell ref="E315:E328"/>
    <mergeCell ref="H92:I92"/>
    <mergeCell ref="G274:K274"/>
    <mergeCell ref="J275:K275"/>
    <mergeCell ref="J276:K276"/>
    <mergeCell ref="E274:E276"/>
    <mergeCell ref="H275:I275"/>
    <mergeCell ref="H276:I276"/>
    <mergeCell ref="E307:E311"/>
    <mergeCell ref="G307:K307"/>
    <mergeCell ref="G315:K315"/>
    <mergeCell ref="J323:K323"/>
    <mergeCell ref="G360:M360"/>
    <mergeCell ref="G42:K42"/>
    <mergeCell ref="G142:K142"/>
    <mergeCell ref="G144:K144"/>
    <mergeCell ref="J145:K145"/>
    <mergeCell ref="J146:K146"/>
    <mergeCell ref="J147:K147"/>
    <mergeCell ref="J148:K148"/>
    <mergeCell ref="J324:K324"/>
    <mergeCell ref="I327:K327"/>
    <mergeCell ref="I328:K328"/>
    <mergeCell ref="G318:K318"/>
    <mergeCell ref="I319:K319"/>
    <mergeCell ref="I320:K320"/>
    <mergeCell ref="G322:K322"/>
    <mergeCell ref="G326:K326"/>
    <mergeCell ref="J203:K203"/>
    <mergeCell ref="H93:I93"/>
    <mergeCell ref="J93:K93"/>
    <mergeCell ref="G203:H203"/>
    <mergeCell ref="J186:K186"/>
    <mergeCell ref="G202:H202"/>
    <mergeCell ref="J202:K202"/>
    <mergeCell ref="J92:K92"/>
    <mergeCell ref="G112:K112"/>
    <mergeCell ref="G117:K117"/>
    <mergeCell ref="G174:K174"/>
    <mergeCell ref="G201:K201"/>
    <mergeCell ref="J185:K185"/>
    <mergeCell ref="G179:K179"/>
    <mergeCell ref="J181:K181"/>
    <mergeCell ref="J182:K182"/>
    <mergeCell ref="J184:K184"/>
    <mergeCell ref="J183:K183"/>
    <mergeCell ref="G88:K88"/>
    <mergeCell ref="H89:I89"/>
    <mergeCell ref="J89:K89"/>
    <mergeCell ref="H90:I90"/>
    <mergeCell ref="J90:K90"/>
    <mergeCell ref="H303:K303"/>
    <mergeCell ref="G294:K294"/>
    <mergeCell ref="G301:K301"/>
    <mergeCell ref="H302:K302"/>
    <mergeCell ref="E225:E227"/>
    <mergeCell ref="G225:K225"/>
    <mergeCell ref="G226:I226"/>
    <mergeCell ref="J226:K226"/>
    <mergeCell ref="G227:I227"/>
    <mergeCell ref="J227:K227"/>
    <mergeCell ref="E262:E270"/>
    <mergeCell ref="G262:K262"/>
    <mergeCell ref="G267:K267"/>
    <mergeCell ref="J268:K268"/>
    <mergeCell ref="J269:K269"/>
    <mergeCell ref="E294:E303"/>
    <mergeCell ref="G241:K241"/>
    <mergeCell ref="G242:I242"/>
    <mergeCell ref="J242:K242"/>
    <mergeCell ref="G243:I243"/>
    <mergeCell ref="J243:K243"/>
    <mergeCell ref="E88:E96"/>
    <mergeCell ref="E142:E153"/>
    <mergeCell ref="E112:E123"/>
    <mergeCell ref="E179:E189"/>
    <mergeCell ref="E241:E243"/>
    <mergeCell ref="E201:E203"/>
  </mergeCells>
  <conditionalFormatting sqref="L362:L374">
    <cfRule type="colorScale" priority="2">
      <colorScale>
        <cfvo type="min"/>
        <cfvo type="percentile" val="50"/>
        <cfvo type="max"/>
        <color rgb="FF63BE7B"/>
        <color rgb="FFFFEB84"/>
        <color rgb="FFF8696B"/>
      </colorScale>
    </cfRule>
  </conditionalFormatting>
  <conditionalFormatting sqref="M362:M373">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horizontalDpi="300" verticalDpi="300" r:id="rId1"/>
  <headerFooter>
    <oddFooter>&amp;L_x000D_&amp;1#&amp;"Calibri"&amp;10&amp;K000000 Classified as Microsoft Confidential</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26428160-659D-4F20-9406-FAE8783D34D9}">
          <x14:formula1>
            <xm:f>FabricMapping!$F$39:$F$43</xm:f>
          </x14:formula1>
          <xm:sqref>G9 G114 G176 G264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DE873-B213-472F-8431-DDCBE0E3DC57}">
  <sheetPr codeName="Sheet33">
    <tabColor rgb="FFFF0000"/>
  </sheetPr>
  <dimension ref="A1:Y433"/>
  <sheetViews>
    <sheetView showGridLines="0" showRowColHeaders="0" topLeftCell="B1" zoomScale="80" zoomScaleNormal="80" workbookViewId="0">
      <selection activeCell="S57" sqref="S57"/>
    </sheetView>
  </sheetViews>
  <sheetFormatPr defaultColWidth="9" defaultRowHeight="17.100000000000001" customHeight="1" zeroHeight="1" x14ac:dyDescent="0.3"/>
  <cols>
    <col min="1" max="1" width="0" style="49" hidden="1" customWidth="1"/>
    <col min="2" max="2" width="3.5546875" style="49" customWidth="1"/>
    <col min="3" max="4" width="2.44140625" style="49" customWidth="1"/>
    <col min="5" max="5" width="46.109375" style="49" customWidth="1"/>
    <col min="6" max="6" width="1.44140625" style="49" customWidth="1"/>
    <col min="7" max="7" width="34.6640625" style="49" customWidth="1"/>
    <col min="8" max="8" width="26.44140625" style="49" customWidth="1"/>
    <col min="9" max="9" width="27" style="49" customWidth="1"/>
    <col min="10" max="10" width="26.44140625" style="49" customWidth="1"/>
    <col min="11" max="11" width="28.33203125" style="49" customWidth="1"/>
    <col min="12" max="12" width="13" style="49" bestFit="1" customWidth="1"/>
    <col min="13" max="13" width="22.33203125" style="49" customWidth="1"/>
    <col min="14" max="14" width="22.5546875" style="49" customWidth="1"/>
    <col min="15" max="15" width="27.109375" style="49" customWidth="1"/>
    <col min="16" max="16" width="21.6640625" style="49" customWidth="1"/>
    <col min="17" max="17" width="27.44140625" style="49" customWidth="1"/>
    <col min="18" max="21" width="17.109375" style="49" customWidth="1"/>
    <col min="22" max="23" width="20.5546875" style="49" customWidth="1"/>
    <col min="24" max="24" width="22.109375" style="49" customWidth="1"/>
    <col min="25" max="32" width="9" style="49" customWidth="1"/>
    <col min="33" max="16384" width="9" style="49"/>
  </cols>
  <sheetData>
    <row r="1" spans="3:22" s="177" customFormat="1" ht="14.4" x14ac:dyDescent="0.3">
      <c r="C1" s="195"/>
      <c r="D1" s="195"/>
      <c r="E1" s="195"/>
      <c r="F1" s="195"/>
      <c r="G1" s="195"/>
      <c r="H1" s="195"/>
      <c r="I1" s="195"/>
      <c r="J1" s="195"/>
      <c r="K1" s="195"/>
      <c r="L1" s="195"/>
      <c r="M1" s="195"/>
      <c r="N1" s="195"/>
      <c r="O1" s="195"/>
      <c r="P1" s="195"/>
      <c r="Q1" s="195"/>
      <c r="R1" s="195"/>
      <c r="S1" s="195"/>
      <c r="T1" s="195"/>
      <c r="U1" s="195"/>
      <c r="V1" s="195"/>
    </row>
    <row r="2" spans="3:22" s="177" customFormat="1" ht="15.6" x14ac:dyDescent="0.3">
      <c r="C2" s="195"/>
      <c r="D2" s="195"/>
      <c r="E2" s="178" t="s">
        <v>37</v>
      </c>
      <c r="F2" s="195"/>
      <c r="G2" s="179" t="s">
        <v>161</v>
      </c>
      <c r="H2" s="195"/>
      <c r="I2" s="195"/>
      <c r="J2" s="195"/>
      <c r="K2" s="49" t="s">
        <v>162</v>
      </c>
      <c r="L2" s="49" t="s">
        <v>163</v>
      </c>
      <c r="M2" s="49" t="s">
        <v>164</v>
      </c>
      <c r="N2" s="49" t="s">
        <v>165</v>
      </c>
      <c r="O2" s="49" t="s">
        <v>166</v>
      </c>
      <c r="P2" s="49" t="s">
        <v>167</v>
      </c>
      <c r="Q2" s="49" t="s">
        <v>168</v>
      </c>
      <c r="R2" s="195"/>
      <c r="S2" s="195"/>
      <c r="T2" s="195"/>
      <c r="U2" s="195"/>
      <c r="V2" s="195"/>
    </row>
    <row r="3" spans="3:22" s="177" customFormat="1" ht="15.6" x14ac:dyDescent="0.3">
      <c r="C3" s="195"/>
      <c r="D3" s="195"/>
      <c r="E3" s="396" t="s">
        <v>169</v>
      </c>
      <c r="F3" s="195"/>
      <c r="G3" s="180">
        <v>2</v>
      </c>
      <c r="H3" s="195"/>
      <c r="I3" s="195"/>
      <c r="J3" s="195"/>
      <c r="K3" s="49" t="s">
        <v>170</v>
      </c>
      <c r="L3" s="181">
        <v>0.3</v>
      </c>
      <c r="M3" s="49">
        <f>$G$6*Table13[[#This Row],[% of Sources]]</f>
        <v>300</v>
      </c>
      <c r="N3" s="49">
        <v>0.5</v>
      </c>
      <c r="O3" s="49">
        <f t="shared" ref="O3:O11" si="0">M3*N3</f>
        <v>150</v>
      </c>
      <c r="P3" s="182">
        <v>3</v>
      </c>
      <c r="Q3" s="49">
        <f t="shared" ref="Q3:Q11" si="1">M3*P3</f>
        <v>900</v>
      </c>
      <c r="R3" s="195"/>
      <c r="S3" s="195"/>
      <c r="T3" s="195"/>
      <c r="U3" s="195"/>
      <c r="V3" s="195"/>
    </row>
    <row r="4" spans="3:22" s="177" customFormat="1" ht="15.6" x14ac:dyDescent="0.3">
      <c r="C4" s="195"/>
      <c r="D4" s="195"/>
      <c r="E4" s="397" t="s">
        <v>44</v>
      </c>
      <c r="F4" s="195"/>
      <c r="G4" s="183">
        <v>10000</v>
      </c>
      <c r="H4" s="195"/>
      <c r="I4" s="195"/>
      <c r="J4" s="195"/>
      <c r="K4" s="49" t="s">
        <v>171</v>
      </c>
      <c r="L4" s="184">
        <v>0.1</v>
      </c>
      <c r="M4" s="49">
        <f>$G$6*Table13[[#This Row],[% of Sources]]</f>
        <v>100</v>
      </c>
      <c r="N4" s="49">
        <v>0.1</v>
      </c>
      <c r="O4" s="49">
        <f t="shared" si="0"/>
        <v>10</v>
      </c>
      <c r="P4" s="182">
        <v>6</v>
      </c>
      <c r="Q4" s="49">
        <f t="shared" si="1"/>
        <v>600</v>
      </c>
      <c r="R4" s="195"/>
      <c r="S4" s="195"/>
      <c r="T4" s="195"/>
      <c r="U4" s="195"/>
      <c r="V4" s="195"/>
    </row>
    <row r="5" spans="3:22" s="177" customFormat="1" ht="15.6" x14ac:dyDescent="0.3">
      <c r="C5" s="195"/>
      <c r="D5" s="195"/>
      <c r="E5" s="397" t="s">
        <v>46</v>
      </c>
      <c r="F5" s="195"/>
      <c r="G5" s="183">
        <v>1</v>
      </c>
      <c r="H5" s="195"/>
      <c r="I5" s="195"/>
      <c r="J5" s="195"/>
      <c r="K5" s="49" t="s">
        <v>172</v>
      </c>
      <c r="L5" s="184">
        <v>0</v>
      </c>
      <c r="M5" s="49">
        <f>$G$6*Table13[[#This Row],[% of Sources]]</f>
        <v>0</v>
      </c>
      <c r="N5" s="49">
        <v>0.1</v>
      </c>
      <c r="O5" s="49">
        <f t="shared" si="0"/>
        <v>0</v>
      </c>
      <c r="P5" s="182">
        <v>6</v>
      </c>
      <c r="Q5" s="49">
        <f t="shared" si="1"/>
        <v>0</v>
      </c>
      <c r="R5" s="195"/>
      <c r="S5" s="195"/>
      <c r="T5" s="195"/>
      <c r="U5" s="195"/>
      <c r="V5" s="195"/>
    </row>
    <row r="6" spans="3:22" s="177" customFormat="1" ht="15.6" x14ac:dyDescent="0.3">
      <c r="C6" s="195"/>
      <c r="D6" s="195"/>
      <c r="E6" s="397" t="s">
        <v>173</v>
      </c>
      <c r="F6" s="195"/>
      <c r="G6" s="183">
        <v>1000</v>
      </c>
      <c r="H6" s="195"/>
      <c r="I6" s="195"/>
      <c r="J6" s="195"/>
      <c r="K6" s="49" t="s">
        <v>174</v>
      </c>
      <c r="L6" s="184">
        <v>0</v>
      </c>
      <c r="M6" s="49">
        <f>$G$6*Table13[[#This Row],[% of Sources]]</f>
        <v>0</v>
      </c>
      <c r="N6" s="49">
        <v>0.05</v>
      </c>
      <c r="O6" s="49">
        <f t="shared" si="0"/>
        <v>0</v>
      </c>
      <c r="P6" s="182">
        <v>6</v>
      </c>
      <c r="Q6" s="49">
        <f t="shared" si="1"/>
        <v>0</v>
      </c>
      <c r="R6" s="195"/>
      <c r="S6" s="195"/>
      <c r="T6" s="195"/>
      <c r="U6" s="195"/>
      <c r="V6" s="195"/>
    </row>
    <row r="7" spans="3:22" s="177" customFormat="1" ht="15.6" x14ac:dyDescent="0.3">
      <c r="C7" s="195"/>
      <c r="D7" s="195"/>
      <c r="E7" s="397" t="s">
        <v>50</v>
      </c>
      <c r="F7" s="195"/>
      <c r="G7" s="185">
        <v>0.3</v>
      </c>
      <c r="H7" s="195"/>
      <c r="I7" s="195"/>
      <c r="J7" s="195"/>
      <c r="K7" s="49" t="s">
        <v>175</v>
      </c>
      <c r="L7" s="184">
        <v>0</v>
      </c>
      <c r="M7" s="49">
        <f>$G$6*Table13[[#This Row],[% of Sources]]</f>
        <v>0</v>
      </c>
      <c r="N7" s="49">
        <v>0.05</v>
      </c>
      <c r="O7" s="49">
        <f t="shared" si="0"/>
        <v>0</v>
      </c>
      <c r="P7" s="182">
        <v>6</v>
      </c>
      <c r="Q7" s="49">
        <f t="shared" si="1"/>
        <v>0</v>
      </c>
      <c r="R7" s="195"/>
      <c r="S7" s="195"/>
      <c r="T7" s="195"/>
      <c r="U7" s="195"/>
      <c r="V7" s="195"/>
    </row>
    <row r="8" spans="3:22" s="177" customFormat="1" ht="15.6" x14ac:dyDescent="0.3">
      <c r="C8" s="195"/>
      <c r="D8" s="195"/>
      <c r="E8" s="397" t="s">
        <v>176</v>
      </c>
      <c r="F8" s="195"/>
      <c r="G8" s="185" t="s">
        <v>354</v>
      </c>
      <c r="H8" s="195"/>
      <c r="I8" s="195"/>
      <c r="J8" s="195"/>
      <c r="K8" s="49" t="s">
        <v>178</v>
      </c>
      <c r="L8" s="184">
        <v>0</v>
      </c>
      <c r="M8" s="49">
        <f>$G$6*Table13[[#This Row],[% of Sources]]</f>
        <v>0</v>
      </c>
      <c r="N8" s="49">
        <v>0.05</v>
      </c>
      <c r="O8" s="49">
        <f t="shared" si="0"/>
        <v>0</v>
      </c>
      <c r="P8" s="182">
        <v>6</v>
      </c>
      <c r="Q8" s="49">
        <f t="shared" si="1"/>
        <v>0</v>
      </c>
      <c r="R8" s="195"/>
      <c r="S8" s="195"/>
      <c r="T8" s="195"/>
      <c r="U8" s="195"/>
      <c r="V8" s="195"/>
    </row>
    <row r="9" spans="3:22" s="177" customFormat="1" ht="15.6" x14ac:dyDescent="0.3">
      <c r="C9" s="195"/>
      <c r="D9" s="195"/>
      <c r="E9" s="397" t="s">
        <v>55</v>
      </c>
      <c r="F9" s="195"/>
      <c r="G9" s="185" t="s">
        <v>56</v>
      </c>
      <c r="H9" s="195"/>
      <c r="I9" s="195"/>
      <c r="J9" s="195"/>
      <c r="K9" s="49" t="s">
        <v>179</v>
      </c>
      <c r="L9" s="184">
        <v>0</v>
      </c>
      <c r="M9" s="49">
        <f>$G$6*Table13[[#This Row],[% of Sources]]</f>
        <v>0</v>
      </c>
      <c r="N9" s="49">
        <v>0.05</v>
      </c>
      <c r="O9" s="49">
        <f t="shared" si="0"/>
        <v>0</v>
      </c>
      <c r="P9" s="182">
        <v>6</v>
      </c>
      <c r="Q9" s="49">
        <f t="shared" si="1"/>
        <v>0</v>
      </c>
      <c r="R9" s="195"/>
      <c r="S9" s="195"/>
      <c r="T9" s="195"/>
      <c r="U9" s="195"/>
      <c r="V9" s="195"/>
    </row>
    <row r="10" spans="3:22" s="177" customFormat="1" ht="15.6" x14ac:dyDescent="0.3">
      <c r="C10" s="195"/>
      <c r="D10" s="195"/>
      <c r="E10" s="397" t="s">
        <v>58</v>
      </c>
      <c r="F10" s="195"/>
      <c r="G10" s="185" t="b">
        <v>1</v>
      </c>
      <c r="H10" s="195"/>
      <c r="I10" s="195"/>
      <c r="J10" s="195"/>
      <c r="K10" s="49" t="s">
        <v>180</v>
      </c>
      <c r="L10" s="184">
        <v>0</v>
      </c>
      <c r="M10" s="49">
        <f>$G$6*Table13[[#This Row],[% of Sources]]</f>
        <v>0</v>
      </c>
      <c r="N10" s="49">
        <v>0.1</v>
      </c>
      <c r="O10" s="49">
        <f t="shared" si="0"/>
        <v>0</v>
      </c>
      <c r="P10" s="182">
        <v>3</v>
      </c>
      <c r="Q10" s="49">
        <f t="shared" si="1"/>
        <v>0</v>
      </c>
      <c r="R10" s="195"/>
      <c r="S10" s="195"/>
      <c r="T10" s="195"/>
      <c r="U10" s="195"/>
      <c r="V10" s="195"/>
    </row>
    <row r="11" spans="3:22" s="177" customFormat="1" ht="15.6" x14ac:dyDescent="0.3">
      <c r="C11" s="195"/>
      <c r="D11" s="195"/>
      <c r="E11" s="397" t="s">
        <v>181</v>
      </c>
      <c r="F11" s="195"/>
      <c r="G11" s="185" t="b">
        <v>1</v>
      </c>
      <c r="H11" s="195"/>
      <c r="I11" s="195"/>
      <c r="J11" s="195"/>
      <c r="K11" s="49" t="s">
        <v>182</v>
      </c>
      <c r="L11" s="184">
        <v>0.6</v>
      </c>
      <c r="M11" s="49">
        <f>$G$6*Table13[[#This Row],[% of Sources]]</f>
        <v>600</v>
      </c>
      <c r="N11" s="49">
        <v>1</v>
      </c>
      <c r="O11" s="49">
        <f t="shared" si="0"/>
        <v>600</v>
      </c>
      <c r="P11" s="182">
        <v>1</v>
      </c>
      <c r="Q11" s="49">
        <f t="shared" si="1"/>
        <v>600</v>
      </c>
      <c r="R11" s="195"/>
      <c r="S11" s="195"/>
      <c r="T11" s="195"/>
      <c r="U11" s="195"/>
      <c r="V11" s="195"/>
    </row>
    <row r="12" spans="3:22" s="177" customFormat="1" ht="15.6" x14ac:dyDescent="0.3">
      <c r="C12" s="195"/>
      <c r="D12" s="195"/>
      <c r="E12" s="397" t="s">
        <v>183</v>
      </c>
      <c r="F12" s="195"/>
      <c r="G12" s="186">
        <v>500</v>
      </c>
      <c r="H12" s="195"/>
      <c r="I12" s="195"/>
      <c r="J12" s="195"/>
      <c r="K12" s="49"/>
      <c r="L12" s="49"/>
      <c r="M12" s="49"/>
      <c r="N12" s="49"/>
      <c r="O12" s="49"/>
      <c r="P12" s="49"/>
      <c r="Q12" s="49"/>
      <c r="R12" s="195"/>
      <c r="S12" s="195"/>
      <c r="T12" s="195"/>
      <c r="U12" s="195"/>
      <c r="V12" s="195"/>
    </row>
    <row r="13" spans="3:22" s="177" customFormat="1" ht="16.2" thickBot="1" x14ac:dyDescent="0.35">
      <c r="C13" s="195"/>
      <c r="D13" s="195"/>
      <c r="E13" s="397" t="s">
        <v>66</v>
      </c>
      <c r="F13" s="195"/>
      <c r="G13" s="185" t="b">
        <v>0</v>
      </c>
      <c r="H13" s="195"/>
      <c r="I13" s="195"/>
      <c r="J13" s="195"/>
      <c r="K13" s="49"/>
      <c r="L13" s="195"/>
      <c r="M13" s="49"/>
      <c r="N13" s="49"/>
      <c r="O13" s="49"/>
      <c r="P13" s="49"/>
      <c r="Q13" s="49"/>
      <c r="R13" s="195"/>
      <c r="S13" s="195"/>
      <c r="T13" s="195"/>
      <c r="U13" s="195"/>
      <c r="V13" s="195"/>
    </row>
    <row r="14" spans="3:22" s="177" customFormat="1" ht="16.2" thickBot="1" x14ac:dyDescent="0.35">
      <c r="C14" s="195"/>
      <c r="D14" s="195"/>
      <c r="E14" s="397" t="s">
        <v>184</v>
      </c>
      <c r="F14" s="195"/>
      <c r="G14" s="186">
        <v>0</v>
      </c>
      <c r="H14" s="49"/>
      <c r="I14" s="195"/>
      <c r="J14" s="195"/>
      <c r="K14" s="187" t="s">
        <v>185</v>
      </c>
      <c r="L14" s="187">
        <f>IFERROR(SUM(O3:O11)/SUM(M3:M11),0)</f>
        <v>0.76</v>
      </c>
      <c r="M14" s="49"/>
      <c r="N14" s="49"/>
      <c r="O14" s="187" t="s">
        <v>186</v>
      </c>
      <c r="P14" s="187">
        <f>IFERROR(SUM(Q3:Q11)/SUM(M3:M11),0)</f>
        <v>2.1</v>
      </c>
      <c r="Q14" s="49"/>
      <c r="R14" s="195"/>
      <c r="S14" s="195"/>
      <c r="T14" s="195"/>
      <c r="U14" s="195"/>
      <c r="V14" s="195"/>
    </row>
    <row r="15" spans="3:22" s="177" customFormat="1" ht="15.6" x14ac:dyDescent="0.3">
      <c r="C15" s="195"/>
      <c r="D15" s="195"/>
      <c r="E15" s="397" t="s">
        <v>70</v>
      </c>
      <c r="F15" s="195"/>
      <c r="G15" s="186">
        <v>250</v>
      </c>
      <c r="H15" s="49"/>
      <c r="I15" s="195"/>
      <c r="J15" s="195"/>
      <c r="K15" s="195"/>
      <c r="L15" s="49"/>
      <c r="M15" s="195"/>
      <c r="N15" s="195"/>
      <c r="O15" s="195"/>
      <c r="P15" s="49"/>
      <c r="Q15" s="195"/>
      <c r="R15" s="195"/>
      <c r="S15" s="195"/>
      <c r="T15" s="195"/>
      <c r="U15" s="195"/>
      <c r="V15" s="195"/>
    </row>
    <row r="16" spans="3:22" s="177" customFormat="1" ht="15.6" x14ac:dyDescent="0.3">
      <c r="C16" s="195"/>
      <c r="D16" s="195"/>
      <c r="E16" s="397" t="s">
        <v>73</v>
      </c>
      <c r="F16" s="195"/>
      <c r="G16" s="185" t="b">
        <v>1</v>
      </c>
      <c r="H16" s="49"/>
      <c r="I16" s="195"/>
      <c r="J16" s="195"/>
      <c r="K16" s="195"/>
      <c r="L16" s="195"/>
      <c r="M16" s="195"/>
      <c r="N16" s="195"/>
      <c r="O16" s="195"/>
      <c r="P16" s="195"/>
      <c r="Q16" s="195"/>
      <c r="R16" s="195"/>
      <c r="S16" s="195"/>
      <c r="T16" s="195"/>
      <c r="U16" s="195"/>
      <c r="V16" s="195"/>
    </row>
    <row r="17" spans="3:24" s="177" customFormat="1" ht="15.6" x14ac:dyDescent="0.3">
      <c r="C17" s="195"/>
      <c r="D17" s="195"/>
      <c r="E17" s="397" t="s">
        <v>75</v>
      </c>
      <c r="F17" s="195"/>
      <c r="G17" s="186">
        <v>800</v>
      </c>
      <c r="H17" s="49"/>
      <c r="I17" s="195"/>
      <c r="J17" s="195"/>
      <c r="K17" s="195"/>
      <c r="L17" s="195"/>
      <c r="M17" s="195"/>
      <c r="N17" s="195"/>
      <c r="O17" s="195"/>
      <c r="P17" s="195"/>
      <c r="Q17" s="195"/>
      <c r="R17" s="195"/>
      <c r="S17" s="195"/>
      <c r="T17" s="195"/>
      <c r="U17" s="195"/>
      <c r="V17" s="195"/>
      <c r="W17" s="195"/>
      <c r="X17" s="195"/>
    </row>
    <row r="18" spans="3:24" s="177" customFormat="1" ht="15.6" x14ac:dyDescent="0.3">
      <c r="C18" s="195"/>
      <c r="D18" s="195"/>
      <c r="E18" s="397" t="s">
        <v>77</v>
      </c>
      <c r="F18" s="195"/>
      <c r="G18" s="186">
        <v>12</v>
      </c>
      <c r="H18" s="49"/>
      <c r="I18" s="195"/>
      <c r="J18" s="195"/>
      <c r="K18" s="195"/>
      <c r="L18" s="195"/>
      <c r="M18" s="195"/>
      <c r="N18" s="195"/>
      <c r="O18" s="195"/>
      <c r="P18" s="195"/>
      <c r="Q18" s="195"/>
      <c r="R18" s="195"/>
      <c r="S18" s="195"/>
      <c r="T18" s="195"/>
      <c r="U18" s="195"/>
      <c r="V18" s="195"/>
      <c r="W18" s="195"/>
      <c r="X18" s="195"/>
    </row>
    <row r="19" spans="3:24" s="177" customFormat="1" ht="15.6" x14ac:dyDescent="0.3">
      <c r="C19" s="195"/>
      <c r="D19" s="195"/>
      <c r="E19" s="397" t="s">
        <v>80</v>
      </c>
      <c r="F19" s="195"/>
      <c r="G19" s="186">
        <v>8</v>
      </c>
      <c r="H19" s="49"/>
      <c r="I19" s="195"/>
      <c r="J19" s="195"/>
      <c r="K19" s="195"/>
      <c r="L19" s="195"/>
      <c r="M19" s="195"/>
      <c r="N19" s="195"/>
      <c r="O19" s="195"/>
      <c r="P19" s="195"/>
      <c r="Q19" s="195"/>
      <c r="R19" s="195"/>
      <c r="S19" s="195"/>
      <c r="T19" s="195"/>
      <c r="U19" s="195"/>
      <c r="V19" s="195"/>
      <c r="W19" s="195"/>
      <c r="X19" s="195"/>
    </row>
    <row r="20" spans="3:24" s="177" customFormat="1" ht="15.6" x14ac:dyDescent="0.3">
      <c r="C20" s="195"/>
      <c r="D20" s="195"/>
      <c r="E20" s="397" t="s">
        <v>82</v>
      </c>
      <c r="F20" s="195"/>
      <c r="G20" s="186">
        <v>4</v>
      </c>
      <c r="H20" s="49"/>
      <c r="I20" s="195"/>
      <c r="J20" s="195"/>
      <c r="K20" s="195"/>
      <c r="L20" s="195"/>
      <c r="M20" s="195"/>
      <c r="N20" s="195"/>
      <c r="O20" s="195"/>
      <c r="P20" s="195"/>
      <c r="Q20" s="195"/>
      <c r="R20" s="195"/>
      <c r="S20" s="195"/>
      <c r="T20" s="195"/>
      <c r="U20" s="195"/>
      <c r="V20" s="195"/>
      <c r="W20" s="195"/>
      <c r="X20" s="195"/>
    </row>
    <row r="21" spans="3:24" s="177" customFormat="1" ht="15.6" x14ac:dyDescent="0.3">
      <c r="C21" s="195"/>
      <c r="D21" s="195"/>
      <c r="E21" s="397" t="s">
        <v>84</v>
      </c>
      <c r="F21" s="195"/>
      <c r="G21" s="185" t="b">
        <v>1</v>
      </c>
      <c r="H21" s="49"/>
      <c r="I21" s="195"/>
      <c r="J21" s="195"/>
      <c r="K21" s="195"/>
      <c r="L21" s="195"/>
      <c r="M21" s="195"/>
      <c r="N21" s="195"/>
      <c r="O21" s="195"/>
      <c r="P21" s="195"/>
      <c r="Q21" s="195"/>
      <c r="R21" s="195"/>
      <c r="S21" s="195"/>
      <c r="T21" s="195"/>
      <c r="U21" s="195"/>
      <c r="V21" s="195"/>
      <c r="W21" s="195"/>
      <c r="X21" s="195"/>
    </row>
    <row r="22" spans="3:24" s="177" customFormat="1" ht="15.6" x14ac:dyDescent="0.3">
      <c r="C22" s="195"/>
      <c r="D22" s="195"/>
      <c r="E22" s="397" t="s">
        <v>187</v>
      </c>
      <c r="F22" s="195"/>
      <c r="G22" s="186">
        <v>10</v>
      </c>
      <c r="H22" s="49"/>
      <c r="I22" s="195"/>
      <c r="J22" s="195"/>
      <c r="K22" s="195"/>
      <c r="L22" s="195"/>
      <c r="M22" s="195"/>
      <c r="N22" s="195"/>
      <c r="O22" s="195"/>
      <c r="P22" s="195"/>
      <c r="Q22" s="195"/>
      <c r="R22" s="195"/>
      <c r="S22" s="195"/>
      <c r="T22" s="195"/>
      <c r="U22" s="195"/>
      <c r="V22" s="195"/>
      <c r="W22" s="195"/>
      <c r="X22" s="195"/>
    </row>
    <row r="23" spans="3:24" s="177" customFormat="1" ht="15.6" x14ac:dyDescent="0.3">
      <c r="C23" s="195"/>
      <c r="D23" s="195"/>
      <c r="E23" s="397" t="s">
        <v>88</v>
      </c>
      <c r="F23" s="195"/>
      <c r="G23" s="186">
        <v>10</v>
      </c>
      <c r="H23" s="49"/>
      <c r="I23" s="195"/>
      <c r="J23" s="195"/>
      <c r="K23" s="195"/>
      <c r="L23" s="195"/>
      <c r="M23" s="195"/>
      <c r="N23" s="195"/>
      <c r="O23" s="195"/>
      <c r="P23" s="195"/>
      <c r="Q23" s="195"/>
      <c r="R23" s="195"/>
      <c r="S23" s="195"/>
      <c r="T23" s="195"/>
      <c r="U23" s="195"/>
      <c r="V23" s="195"/>
      <c r="W23" s="195"/>
      <c r="X23" s="195"/>
    </row>
    <row r="24" spans="3:24" s="177" customFormat="1" ht="15.6" x14ac:dyDescent="0.3">
      <c r="C24" s="195"/>
      <c r="D24" s="195"/>
      <c r="E24" s="397" t="s">
        <v>91</v>
      </c>
      <c r="F24" s="195"/>
      <c r="G24" s="186">
        <v>100</v>
      </c>
      <c r="H24" s="49"/>
      <c r="I24" s="195"/>
      <c r="J24" s="195"/>
      <c r="K24" s="195"/>
      <c r="L24" s="195"/>
      <c r="M24" s="195"/>
      <c r="N24" s="195"/>
      <c r="O24" s="195"/>
      <c r="P24" s="195"/>
      <c r="Q24" s="195"/>
      <c r="R24" s="195"/>
      <c r="S24" s="195"/>
      <c r="T24" s="195"/>
      <c r="U24" s="195"/>
      <c r="V24" s="195"/>
      <c r="W24" s="195"/>
      <c r="X24" s="195"/>
    </row>
    <row r="25" spans="3:24" s="177" customFormat="1" ht="15.6" x14ac:dyDescent="0.3">
      <c r="C25" s="195"/>
      <c r="D25" s="195"/>
      <c r="E25" s="397" t="s">
        <v>93</v>
      </c>
      <c r="F25" s="195"/>
      <c r="G25" s="186">
        <v>5</v>
      </c>
      <c r="H25" s="49"/>
      <c r="I25" s="195"/>
      <c r="J25" s="195"/>
      <c r="K25" s="195"/>
      <c r="L25" s="195"/>
      <c r="M25" s="195"/>
      <c r="N25" s="195"/>
      <c r="O25" s="195"/>
      <c r="P25" s="195"/>
      <c r="Q25" s="195"/>
      <c r="R25" s="195"/>
      <c r="S25" s="195"/>
      <c r="T25" s="195"/>
      <c r="U25" s="195"/>
      <c r="V25" s="195"/>
      <c r="W25" s="195"/>
      <c r="X25" s="195"/>
    </row>
    <row r="26" spans="3:24" s="177" customFormat="1" ht="15.6" x14ac:dyDescent="0.3">
      <c r="C26" s="195"/>
      <c r="D26" s="195"/>
      <c r="E26" s="397" t="s">
        <v>95</v>
      </c>
      <c r="F26" s="195"/>
      <c r="G26" s="186">
        <v>25</v>
      </c>
      <c r="H26" s="49"/>
      <c r="I26" s="195"/>
      <c r="J26" s="195"/>
      <c r="K26" s="195"/>
      <c r="L26" s="195"/>
      <c r="M26" s="195"/>
      <c r="N26" s="195"/>
      <c r="O26" s="195"/>
      <c r="P26" s="195"/>
      <c r="Q26" s="195"/>
      <c r="R26" s="195"/>
      <c r="S26" s="195"/>
      <c r="T26" s="195"/>
      <c r="U26" s="195"/>
      <c r="V26" s="195"/>
      <c r="W26" s="195"/>
      <c r="X26" s="195"/>
    </row>
    <row r="27" spans="3:24" s="177" customFormat="1" ht="15.6" x14ac:dyDescent="0.3">
      <c r="C27" s="195"/>
      <c r="D27" s="195"/>
      <c r="E27" s="397" t="s">
        <v>97</v>
      </c>
      <c r="F27" s="195"/>
      <c r="G27" s="186">
        <v>7</v>
      </c>
      <c r="H27" s="49"/>
      <c r="I27" s="195"/>
      <c r="J27" s="195"/>
      <c r="K27" s="195"/>
      <c r="L27" s="195"/>
      <c r="M27" s="195"/>
      <c r="N27" s="195"/>
      <c r="O27" s="195"/>
      <c r="P27" s="195"/>
      <c r="Q27" s="195"/>
      <c r="R27" s="195"/>
      <c r="S27" s="195"/>
      <c r="T27" s="195"/>
      <c r="U27" s="195"/>
      <c r="V27" s="195"/>
      <c r="W27" s="195"/>
      <c r="X27" s="195"/>
    </row>
    <row r="28" spans="3:24" s="177" customFormat="1" ht="15.6" x14ac:dyDescent="0.3">
      <c r="C28" s="195"/>
      <c r="D28" s="195"/>
      <c r="E28" s="397" t="s">
        <v>100</v>
      </c>
      <c r="F28" s="195"/>
      <c r="G28" s="186">
        <v>1</v>
      </c>
      <c r="H28" s="49"/>
      <c r="I28" s="195"/>
      <c r="J28" s="195"/>
      <c r="K28" s="195"/>
      <c r="L28" s="195"/>
      <c r="M28" s="195"/>
      <c r="N28" s="195"/>
      <c r="O28" s="195"/>
      <c r="P28" s="195"/>
      <c r="Q28" s="195"/>
      <c r="R28" s="195"/>
      <c r="S28" s="195"/>
      <c r="T28" s="195"/>
      <c r="U28" s="195"/>
      <c r="V28" s="195"/>
      <c r="W28" s="195"/>
      <c r="X28" s="195"/>
    </row>
    <row r="29" spans="3:24" s="177" customFormat="1" ht="15.6" x14ac:dyDescent="0.3">
      <c r="C29" s="195"/>
      <c r="D29" s="195"/>
      <c r="E29" s="397" t="s">
        <v>103</v>
      </c>
      <c r="F29" s="195"/>
      <c r="G29" s="186">
        <v>10</v>
      </c>
      <c r="H29" s="49"/>
      <c r="I29" s="195"/>
      <c r="J29" s="195"/>
      <c r="K29" s="195"/>
      <c r="L29" s="195"/>
      <c r="M29" s="195"/>
      <c r="N29" s="195"/>
      <c r="O29" s="195"/>
      <c r="P29" s="195"/>
      <c r="Q29" s="195"/>
      <c r="R29" s="195"/>
      <c r="S29" s="195"/>
      <c r="T29" s="195"/>
      <c r="U29" s="195"/>
      <c r="V29" s="195"/>
      <c r="W29" s="195"/>
      <c r="X29" s="195"/>
    </row>
    <row r="30" spans="3:24" s="177" customFormat="1" ht="15.6" x14ac:dyDescent="0.3">
      <c r="C30" s="195"/>
      <c r="D30" s="195"/>
      <c r="E30" s="397" t="s">
        <v>104</v>
      </c>
      <c r="F30" s="195"/>
      <c r="G30" s="186">
        <v>7</v>
      </c>
      <c r="H30" s="49"/>
      <c r="I30" s="195"/>
      <c r="J30" s="195"/>
      <c r="K30" s="195"/>
      <c r="L30" s="195"/>
      <c r="M30" s="195"/>
      <c r="N30" s="195"/>
      <c r="O30" s="195"/>
      <c r="P30" s="195"/>
      <c r="Q30" s="195"/>
      <c r="R30" s="195"/>
      <c r="S30" s="195"/>
      <c r="T30" s="195"/>
      <c r="U30" s="195"/>
      <c r="V30" s="195"/>
      <c r="W30" s="195"/>
      <c r="X30" s="195"/>
    </row>
    <row r="31" spans="3:24" s="177" customFormat="1" ht="15.6" x14ac:dyDescent="0.3">
      <c r="C31" s="195"/>
      <c r="D31" s="195"/>
      <c r="E31" s="397" t="s">
        <v>106</v>
      </c>
      <c r="F31" s="195"/>
      <c r="G31" s="186">
        <v>30</v>
      </c>
      <c r="H31" s="49"/>
      <c r="I31" s="195"/>
      <c r="J31" s="195"/>
      <c r="K31" s="195"/>
      <c r="L31" s="195"/>
      <c r="M31" s="195"/>
      <c r="N31" s="195"/>
      <c r="O31" s="195"/>
      <c r="P31" s="195"/>
      <c r="Q31" s="195"/>
      <c r="R31" s="195"/>
      <c r="S31" s="195"/>
      <c r="T31" s="195"/>
      <c r="U31" s="195"/>
      <c r="V31" s="195"/>
      <c r="W31" s="195"/>
      <c r="X31" s="195"/>
    </row>
    <row r="32" spans="3:24" s="177" customFormat="1" ht="15.6" x14ac:dyDescent="0.3">
      <c r="C32" s="195"/>
      <c r="D32" s="195"/>
      <c r="E32" s="397" t="s">
        <v>108</v>
      </c>
      <c r="F32" s="195"/>
      <c r="G32" s="186">
        <v>24</v>
      </c>
      <c r="H32" s="49"/>
      <c r="I32" s="195"/>
      <c r="J32" s="195"/>
      <c r="K32" s="195"/>
      <c r="L32" s="195"/>
      <c r="M32" s="195"/>
      <c r="N32" s="195"/>
      <c r="O32" s="195"/>
      <c r="P32" s="195"/>
      <c r="Q32" s="195"/>
      <c r="R32" s="195"/>
      <c r="S32" s="195"/>
      <c r="T32" s="195"/>
      <c r="U32" s="195"/>
      <c r="V32" s="195"/>
      <c r="W32" s="195"/>
      <c r="X32" s="195"/>
    </row>
    <row r="33" spans="3:24" s="177" customFormat="1" ht="15.6" x14ac:dyDescent="0.3">
      <c r="C33" s="195"/>
      <c r="D33" s="195"/>
      <c r="E33" s="397" t="s">
        <v>111</v>
      </c>
      <c r="F33" s="195"/>
      <c r="G33" s="186">
        <v>10</v>
      </c>
      <c r="H33" s="49"/>
      <c r="I33" s="195"/>
      <c r="J33" s="195"/>
      <c r="K33" s="195"/>
      <c r="L33" s="195"/>
      <c r="M33" s="195"/>
      <c r="N33" s="195"/>
      <c r="O33" s="195"/>
      <c r="P33" s="195"/>
      <c r="Q33" s="195"/>
      <c r="R33" s="195"/>
      <c r="S33" s="195"/>
      <c r="T33" s="195"/>
      <c r="U33" s="195"/>
      <c r="V33" s="195"/>
      <c r="W33" s="195"/>
      <c r="X33" s="195"/>
    </row>
    <row r="34" spans="3:24" s="177" customFormat="1" ht="15.6" x14ac:dyDescent="0.3">
      <c r="C34" s="195"/>
      <c r="D34" s="195"/>
      <c r="E34" s="397" t="s">
        <v>113</v>
      </c>
      <c r="F34" s="195"/>
      <c r="G34" s="186">
        <v>24</v>
      </c>
      <c r="H34" s="49"/>
      <c r="I34" s="195"/>
      <c r="J34" s="195"/>
      <c r="K34" s="195"/>
      <c r="L34" s="195"/>
      <c r="M34" s="195"/>
      <c r="N34" s="195"/>
      <c r="O34" s="195"/>
      <c r="P34" s="195"/>
      <c r="Q34" s="195"/>
      <c r="R34" s="195"/>
      <c r="S34" s="195"/>
      <c r="T34" s="195"/>
      <c r="U34" s="195"/>
      <c r="V34" s="195"/>
      <c r="W34" s="195"/>
      <c r="X34" s="195"/>
    </row>
    <row r="35" spans="3:24" s="177" customFormat="1" ht="15.6" x14ac:dyDescent="0.3">
      <c r="C35" s="195"/>
      <c r="D35" s="195"/>
      <c r="E35" s="397" t="s">
        <v>115</v>
      </c>
      <c r="F35" s="195"/>
      <c r="G35" s="186">
        <v>1</v>
      </c>
      <c r="H35" s="195"/>
      <c r="I35" s="195"/>
      <c r="J35" s="195"/>
      <c r="K35" s="195"/>
      <c r="L35" s="195"/>
      <c r="M35" s="195"/>
      <c r="N35" s="195"/>
      <c r="O35" s="195"/>
      <c r="P35" s="195"/>
      <c r="Q35" s="195"/>
      <c r="R35" s="195"/>
      <c r="S35" s="195"/>
      <c r="T35" s="195"/>
      <c r="U35" s="195"/>
      <c r="V35" s="195"/>
      <c r="W35" s="195"/>
      <c r="X35" s="195"/>
    </row>
    <row r="36" spans="3:24" s="177" customFormat="1" ht="15.6" x14ac:dyDescent="0.3">
      <c r="C36" s="195"/>
      <c r="D36" s="195"/>
      <c r="E36" s="397" t="s">
        <v>117</v>
      </c>
      <c r="F36" s="195"/>
      <c r="G36" s="186">
        <v>5</v>
      </c>
      <c r="H36" s="195"/>
      <c r="I36" s="195"/>
      <c r="J36" s="195"/>
      <c r="K36" s="195"/>
      <c r="L36" s="195"/>
      <c r="M36" s="195"/>
      <c r="N36" s="195"/>
      <c r="O36" s="195"/>
      <c r="P36" s="49"/>
      <c r="Q36" s="49"/>
      <c r="R36" s="49"/>
      <c r="S36" s="49"/>
      <c r="T36" s="49"/>
      <c r="U36" s="49"/>
      <c r="V36" s="49"/>
      <c r="W36" s="49"/>
      <c r="X36" s="49"/>
    </row>
    <row r="37" spans="3:24" s="177" customFormat="1" ht="14.4" x14ac:dyDescent="0.3">
      <c r="C37" s="195"/>
      <c r="D37" s="195"/>
      <c r="E37" s="195"/>
      <c r="F37" s="195"/>
      <c r="G37" s="195"/>
      <c r="H37" s="195"/>
      <c r="I37" s="195"/>
      <c r="J37" s="195"/>
      <c r="K37" s="195"/>
      <c r="L37" s="195"/>
      <c r="M37" s="195"/>
      <c r="N37" s="195"/>
      <c r="O37" s="195"/>
      <c r="P37" s="49"/>
      <c r="Q37" s="49"/>
      <c r="R37" s="49"/>
      <c r="S37" s="49"/>
      <c r="T37" s="49"/>
      <c r="U37" s="49"/>
      <c r="V37" s="49"/>
      <c r="W37" s="49"/>
      <c r="X37" s="49"/>
    </row>
    <row r="38" spans="3:24" s="177" customFormat="1" ht="15" thickBot="1" x14ac:dyDescent="0.35">
      <c r="C38" s="195"/>
      <c r="D38" s="195"/>
      <c r="E38" s="195"/>
      <c r="F38" s="195"/>
      <c r="G38" s="195"/>
      <c r="H38" s="195"/>
      <c r="I38" s="195"/>
      <c r="J38" s="195"/>
      <c r="K38" s="195"/>
      <c r="L38" s="195"/>
      <c r="M38" s="195"/>
      <c r="N38" s="195"/>
      <c r="O38" s="195"/>
      <c r="P38" s="49"/>
      <c r="Q38" s="49"/>
      <c r="R38" s="49"/>
      <c r="S38" s="49"/>
      <c r="T38" s="49"/>
      <c r="U38" s="49"/>
      <c r="V38" s="49"/>
      <c r="W38" s="49"/>
      <c r="X38" s="49"/>
    </row>
    <row r="39" spans="3:24" s="177" customFormat="1" ht="23.4" x14ac:dyDescent="0.45">
      <c r="C39" s="188" t="s">
        <v>188</v>
      </c>
      <c r="D39" s="189"/>
      <c r="E39" s="189"/>
      <c r="F39" s="398"/>
      <c r="G39" s="398"/>
      <c r="H39" s="190"/>
      <c r="I39" s="398"/>
      <c r="J39" s="398"/>
      <c r="K39" s="398"/>
      <c r="L39" s="399"/>
      <c r="M39" s="195"/>
      <c r="N39" s="195"/>
      <c r="O39" s="195"/>
      <c r="P39" s="49"/>
      <c r="Q39" s="49"/>
      <c r="R39" s="49"/>
      <c r="S39" s="49"/>
      <c r="T39" s="49"/>
      <c r="U39" s="49"/>
      <c r="V39" s="49"/>
      <c r="W39" s="49"/>
      <c r="X39" s="49"/>
    </row>
    <row r="40" spans="3:24" s="177" customFormat="1" ht="32.25" customHeight="1" x14ac:dyDescent="0.3">
      <c r="C40" s="400"/>
      <c r="D40" s="195"/>
      <c r="E40" s="195"/>
      <c r="F40" s="195"/>
      <c r="G40" s="195"/>
      <c r="H40" s="195"/>
      <c r="I40" s="195"/>
      <c r="J40" s="195"/>
      <c r="K40" s="195"/>
      <c r="L40" s="401"/>
      <c r="M40" s="195"/>
      <c r="N40" s="195"/>
      <c r="O40" s="195"/>
      <c r="P40" s="49"/>
      <c r="Q40" s="49"/>
      <c r="R40" s="49"/>
      <c r="S40" s="49"/>
      <c r="T40" s="49"/>
      <c r="U40" s="49"/>
      <c r="V40" s="49"/>
      <c r="W40" s="49"/>
      <c r="X40" s="49"/>
    </row>
    <row r="41" spans="3:24" s="177" customFormat="1" ht="15" thickBot="1" x14ac:dyDescent="0.35">
      <c r="C41" s="400"/>
      <c r="D41" s="195"/>
      <c r="E41" s="195"/>
      <c r="F41" s="195"/>
      <c r="G41" s="195"/>
      <c r="H41" s="195"/>
      <c r="I41" s="195"/>
      <c r="J41" s="195"/>
      <c r="K41" s="195"/>
      <c r="L41" s="401"/>
      <c r="M41" s="195"/>
      <c r="N41" s="195"/>
      <c r="O41" s="195"/>
      <c r="P41" s="49"/>
      <c r="Q41" s="49"/>
      <c r="R41" s="49"/>
      <c r="S41" s="49"/>
      <c r="T41" s="49"/>
      <c r="U41" s="49"/>
      <c r="V41" s="49"/>
      <c r="W41" s="49"/>
      <c r="X41" s="49"/>
    </row>
    <row r="42" spans="3:24" s="177" customFormat="1" ht="14.4" x14ac:dyDescent="0.3">
      <c r="C42" s="400"/>
      <c r="D42" s="195"/>
      <c r="E42" s="561" t="s">
        <v>188</v>
      </c>
      <c r="F42" s="195"/>
      <c r="G42" s="563" t="s">
        <v>189</v>
      </c>
      <c r="H42" s="564"/>
      <c r="I42" s="564"/>
      <c r="J42" s="564"/>
      <c r="K42" s="565"/>
      <c r="L42" s="401"/>
      <c r="M42" s="195"/>
      <c r="N42" s="195"/>
      <c r="O42" s="195"/>
      <c r="P42" s="49"/>
      <c r="Q42" s="49"/>
      <c r="R42" s="49"/>
      <c r="S42" s="49"/>
      <c r="T42" s="49"/>
      <c r="U42" s="49"/>
      <c r="V42" s="49"/>
      <c r="W42" s="49"/>
      <c r="X42" s="49"/>
    </row>
    <row r="43" spans="3:24" s="177" customFormat="1" ht="14.4" x14ac:dyDescent="0.3">
      <c r="C43" s="400"/>
      <c r="D43" s="195"/>
      <c r="E43" s="561"/>
      <c r="F43" s="195"/>
      <c r="G43" s="191" t="s">
        <v>190</v>
      </c>
      <c r="H43" s="192" t="s">
        <v>191</v>
      </c>
      <c r="I43" s="192" t="s">
        <v>192</v>
      </c>
      <c r="J43" s="192" t="s">
        <v>193</v>
      </c>
      <c r="K43" s="193" t="s">
        <v>194</v>
      </c>
      <c r="L43" s="401"/>
      <c r="M43" s="195"/>
      <c r="N43" s="195"/>
      <c r="O43" s="195"/>
      <c r="P43" s="49"/>
      <c r="Q43" s="49"/>
      <c r="R43" s="49"/>
      <c r="S43" s="49"/>
      <c r="T43" s="49"/>
      <c r="U43" s="49"/>
      <c r="V43" s="49"/>
      <c r="W43" s="49"/>
      <c r="X43" s="49"/>
    </row>
    <row r="44" spans="3:24" s="177" customFormat="1" ht="14.4" x14ac:dyDescent="0.3">
      <c r="C44" s="400"/>
      <c r="D44" s="195"/>
      <c r="E44" s="561"/>
      <c r="F44" s="195"/>
      <c r="G44" s="194" t="s">
        <v>195</v>
      </c>
      <c r="H44" s="402">
        <f>VLOOKUP(UserInputs!$D$4,FabricMapping!$E$110:$J$112,4,0)</f>
        <v>0.4</v>
      </c>
      <c r="I44" s="402">
        <f>VLOOKUP(UserInputs!$D$4,FabricMapping!$E$110:$J$112,5,0)</f>
        <v>0.35</v>
      </c>
      <c r="J44" s="402">
        <f>VLOOKUP(UserInputs!$D$4,FabricMapping!$E$110:$J$112,6,0)</f>
        <v>0.25</v>
      </c>
      <c r="K44" s="403">
        <f>$G$7</f>
        <v>0.3</v>
      </c>
      <c r="L44" s="401"/>
      <c r="M44" s="195"/>
      <c r="N44" s="195"/>
      <c r="O44" s="195"/>
      <c r="P44" s="49"/>
      <c r="Q44" s="49"/>
      <c r="R44" s="49"/>
      <c r="S44" s="49"/>
      <c r="T44" s="49"/>
      <c r="U44" s="49"/>
      <c r="V44" s="49"/>
      <c r="W44" s="49"/>
      <c r="X44" s="49"/>
    </row>
    <row r="45" spans="3:24" s="177" customFormat="1" ht="14.4" x14ac:dyDescent="0.3">
      <c r="C45" s="400"/>
      <c r="D45" s="195"/>
      <c r="E45" s="561"/>
      <c r="F45" s="195"/>
      <c r="G45" s="194" t="s">
        <v>196</v>
      </c>
      <c r="H45" s="404">
        <f>$G$4*H44</f>
        <v>4000</v>
      </c>
      <c r="I45" s="404">
        <f>$G$4*I44</f>
        <v>3500</v>
      </c>
      <c r="J45" s="404">
        <f>$G$4*J44</f>
        <v>2500</v>
      </c>
      <c r="K45" s="405">
        <f>IF(I45=0,(AVERAGE(J45)*K44),(AVERAGE(I45:J45)*K44))</f>
        <v>900</v>
      </c>
      <c r="L45" s="401"/>
      <c r="M45" s="195"/>
      <c r="N45" s="195"/>
      <c r="O45" s="195"/>
      <c r="P45" s="49"/>
      <c r="Q45" s="49"/>
      <c r="R45" s="49"/>
      <c r="S45" s="49"/>
      <c r="T45" s="49"/>
      <c r="U45" s="49"/>
      <c r="V45" s="49"/>
      <c r="W45" s="49"/>
      <c r="X45" s="49"/>
    </row>
    <row r="46" spans="3:24" s="177" customFormat="1" ht="14.4" x14ac:dyDescent="0.3">
      <c r="C46" s="400"/>
      <c r="D46" s="195"/>
      <c r="E46" s="561"/>
      <c r="F46" s="195"/>
      <c r="G46" s="194" t="s">
        <v>197</v>
      </c>
      <c r="H46" s="404">
        <f>H45*6</f>
        <v>24000</v>
      </c>
      <c r="I46" s="404">
        <f>I45*6</f>
        <v>21000</v>
      </c>
      <c r="J46" s="404">
        <f>J45*6</f>
        <v>15000</v>
      </c>
      <c r="K46" s="405">
        <f>K45*6</f>
        <v>5400</v>
      </c>
      <c r="L46" s="401"/>
      <c r="M46" s="195"/>
      <c r="N46" s="195"/>
      <c r="O46" s="195"/>
      <c r="P46" s="49"/>
      <c r="Q46" s="49"/>
      <c r="R46" s="49"/>
      <c r="S46" s="49"/>
      <c r="T46" s="49"/>
      <c r="U46" s="49"/>
      <c r="V46" s="49"/>
      <c r="W46" s="49"/>
      <c r="X46" s="49"/>
    </row>
    <row r="47" spans="3:24" s="177" customFormat="1" ht="15" thickBot="1" x14ac:dyDescent="0.35">
      <c r="C47" s="400"/>
      <c r="D47" s="195"/>
      <c r="E47" s="561"/>
      <c r="F47" s="195"/>
      <c r="G47" s="196" t="s">
        <v>198</v>
      </c>
      <c r="H47" s="406">
        <f>IFERROR(ROUNDUP(H46/'Fabric Working Model-Avg'!$P$14,0),0)</f>
        <v>12000</v>
      </c>
      <c r="I47" s="406">
        <f>I45</f>
        <v>3500</v>
      </c>
      <c r="J47" s="406">
        <f>J45</f>
        <v>2500</v>
      </c>
      <c r="K47" s="407"/>
      <c r="L47" s="401"/>
      <c r="M47" s="195"/>
      <c r="N47" s="195"/>
      <c r="O47" s="195"/>
      <c r="P47" s="49"/>
      <c r="Q47" s="49"/>
      <c r="R47" s="49"/>
      <c r="S47" s="49"/>
      <c r="T47" s="49"/>
      <c r="U47" s="49"/>
      <c r="V47" s="49"/>
      <c r="W47" s="49"/>
      <c r="X47" s="49"/>
    </row>
    <row r="48" spans="3:24" s="177" customFormat="1" ht="15" thickBot="1" x14ac:dyDescent="0.35">
      <c r="C48" s="400"/>
      <c r="D48" s="195"/>
      <c r="E48" s="561"/>
      <c r="F48" s="195"/>
      <c r="G48" s="195"/>
      <c r="H48" s="195"/>
      <c r="I48" s="195"/>
      <c r="J48" s="195"/>
      <c r="K48" s="195"/>
      <c r="L48" s="401"/>
      <c r="M48" s="195"/>
      <c r="N48" s="195"/>
      <c r="O48" s="195"/>
      <c r="P48" s="49"/>
      <c r="Q48" s="49"/>
      <c r="R48" s="49"/>
      <c r="S48" s="49"/>
      <c r="T48" s="49"/>
      <c r="U48" s="49"/>
      <c r="V48" s="49"/>
      <c r="W48" s="49"/>
      <c r="X48" s="49"/>
    </row>
    <row r="49" spans="2:25" s="177" customFormat="1" ht="14.4" x14ac:dyDescent="0.3">
      <c r="B49" s="195"/>
      <c r="C49" s="400"/>
      <c r="D49" s="195"/>
      <c r="E49" s="561"/>
      <c r="F49" s="195"/>
      <c r="G49" s="563" t="s">
        <v>199</v>
      </c>
      <c r="H49" s="564"/>
      <c r="I49" s="564"/>
      <c r="J49" s="564"/>
      <c r="K49" s="565"/>
      <c r="L49" s="401"/>
      <c r="M49" s="195"/>
      <c r="N49" s="195"/>
      <c r="O49" s="195"/>
      <c r="P49" s="49"/>
      <c r="Q49" s="49"/>
      <c r="R49" s="49"/>
      <c r="S49" s="49"/>
      <c r="T49" s="49"/>
      <c r="U49" s="49"/>
      <c r="V49" s="49"/>
      <c r="W49" s="49"/>
      <c r="X49" s="49"/>
      <c r="Y49" s="195"/>
    </row>
    <row r="50" spans="2:25" s="177" customFormat="1" ht="14.4" x14ac:dyDescent="0.3">
      <c r="B50" s="195"/>
      <c r="C50" s="400"/>
      <c r="D50" s="195"/>
      <c r="E50" s="561"/>
      <c r="F50" s="195"/>
      <c r="G50" s="194" t="s">
        <v>200</v>
      </c>
      <c r="H50" s="197" t="s">
        <v>149</v>
      </c>
      <c r="I50" s="197" t="s">
        <v>150</v>
      </c>
      <c r="J50" s="197" t="s">
        <v>99</v>
      </c>
      <c r="K50" s="198"/>
      <c r="L50" s="401"/>
      <c r="M50" s="195"/>
      <c r="N50" s="195"/>
      <c r="O50" s="195"/>
      <c r="P50" s="49"/>
      <c r="Q50" s="49"/>
      <c r="R50" s="49"/>
      <c r="S50" s="49"/>
      <c r="T50" s="49"/>
      <c r="U50" s="49"/>
      <c r="V50" s="49"/>
      <c r="W50" s="49"/>
      <c r="X50" s="49"/>
      <c r="Y50" s="195"/>
    </row>
    <row r="51" spans="2:25" s="177" customFormat="1" ht="15" thickBot="1" x14ac:dyDescent="0.35">
      <c r="B51" s="195"/>
      <c r="C51" s="400"/>
      <c r="D51" s="195"/>
      <c r="E51" s="561"/>
      <c r="F51" s="195"/>
      <c r="G51" s="196"/>
      <c r="H51" s="199">
        <f>J317</f>
        <v>290</v>
      </c>
      <c r="I51" s="199">
        <f>H303</f>
        <v>0.39</v>
      </c>
      <c r="J51" s="199">
        <f>H309</f>
        <v>53</v>
      </c>
      <c r="K51" s="200"/>
      <c r="L51" s="401"/>
      <c r="M51" s="49"/>
      <c r="N51" s="49"/>
      <c r="O51" s="195"/>
      <c r="P51" s="49"/>
      <c r="Q51" s="49"/>
      <c r="R51" s="49"/>
      <c r="S51" s="49"/>
      <c r="T51" s="49"/>
      <c r="U51" s="49"/>
      <c r="V51" s="49"/>
      <c r="W51" s="49"/>
      <c r="X51" s="49"/>
      <c r="Y51" s="195"/>
    </row>
    <row r="52" spans="2:25" s="177" customFormat="1" ht="15" thickBot="1" x14ac:dyDescent="0.35">
      <c r="B52" s="195"/>
      <c r="C52" s="400"/>
      <c r="D52" s="195"/>
      <c r="E52" s="561"/>
      <c r="F52" s="195"/>
      <c r="G52" s="195"/>
      <c r="H52" s="195"/>
      <c r="I52" s="195"/>
      <c r="J52" s="195"/>
      <c r="K52" s="195"/>
      <c r="L52" s="401"/>
      <c r="M52" s="49"/>
      <c r="N52" s="49"/>
      <c r="O52" s="195"/>
      <c r="P52" s="49"/>
      <c r="Q52" s="49"/>
      <c r="R52" s="49"/>
      <c r="S52" s="49"/>
      <c r="T52" s="49"/>
      <c r="U52" s="49"/>
      <c r="V52" s="49"/>
      <c r="W52" s="49"/>
      <c r="X52" s="49"/>
      <c r="Y52" s="195"/>
    </row>
    <row r="53" spans="2:25" s="177" customFormat="1" ht="14.4" x14ac:dyDescent="0.3">
      <c r="B53" s="195"/>
      <c r="C53" s="400"/>
      <c r="D53" s="195"/>
      <c r="E53" s="561"/>
      <c r="F53" s="195"/>
      <c r="G53" s="201"/>
      <c r="H53" s="564" t="s">
        <v>355</v>
      </c>
      <c r="I53" s="565"/>
      <c r="J53" s="563" t="s">
        <v>202</v>
      </c>
      <c r="K53" s="565"/>
      <c r="L53" s="401"/>
      <c r="M53" s="49"/>
      <c r="N53" s="49"/>
      <c r="O53" s="195"/>
      <c r="P53" s="195"/>
      <c r="Q53" s="49"/>
      <c r="R53" s="49"/>
      <c r="S53" s="49"/>
      <c r="T53" s="49"/>
      <c r="U53" s="49"/>
      <c r="V53" s="49"/>
      <c r="W53" s="49"/>
      <c r="X53" s="49"/>
      <c r="Y53" s="49"/>
    </row>
    <row r="54" spans="2:25" s="177" customFormat="1" ht="15" thickBot="1" x14ac:dyDescent="0.35">
      <c r="B54" s="195"/>
      <c r="C54" s="400"/>
      <c r="D54" s="195"/>
      <c r="E54" s="561"/>
      <c r="F54" s="195"/>
      <c r="G54" s="203" t="s">
        <v>203</v>
      </c>
      <c r="H54" s="604">
        <f>IFERROR(SUM(H47:J47)+SUM(H51:K51),0)</f>
        <v>18343.39</v>
      </c>
      <c r="I54" s="605"/>
      <c r="J54" s="600">
        <f>I309+I51</f>
        <v>10.532857142857143</v>
      </c>
      <c r="K54" s="601"/>
      <c r="L54" s="401"/>
      <c r="M54" s="49"/>
      <c r="N54" s="49"/>
      <c r="O54" s="195"/>
      <c r="P54" s="195"/>
      <c r="Q54" s="49"/>
      <c r="R54" s="49"/>
      <c r="S54" s="49"/>
      <c r="T54" s="49"/>
      <c r="U54" s="49"/>
      <c r="V54" s="49"/>
      <c r="W54" s="49"/>
      <c r="X54" s="49"/>
      <c r="Y54" s="49"/>
    </row>
    <row r="55" spans="2:25" s="177" customFormat="1" ht="15" hidden="1" thickBot="1" x14ac:dyDescent="0.35">
      <c r="B55" s="195"/>
      <c r="C55" s="400"/>
      <c r="D55" s="195"/>
      <c r="E55" s="561"/>
      <c r="F55" s="195"/>
      <c r="G55" s="203" t="s">
        <v>204</v>
      </c>
      <c r="H55" s="606">
        <f>H54*Cost_Setup!$H$7</f>
        <v>421.89796999999999</v>
      </c>
      <c r="I55" s="607"/>
      <c r="J55" s="602">
        <f>J54*Cost_Setup!$I$7</f>
        <v>2.5910828571428572</v>
      </c>
      <c r="K55" s="603"/>
      <c r="L55" s="401"/>
      <c r="M55" s="49"/>
      <c r="N55" s="49"/>
      <c r="O55" s="195"/>
      <c r="P55" s="195"/>
      <c r="Q55" s="49"/>
      <c r="R55" s="49"/>
      <c r="S55" s="49"/>
      <c r="T55" s="49"/>
      <c r="U55" s="49"/>
      <c r="V55" s="49"/>
      <c r="W55" s="49"/>
      <c r="X55" s="49"/>
      <c r="Y55" s="49"/>
    </row>
    <row r="56" spans="2:25" s="177" customFormat="1" ht="15" thickBot="1" x14ac:dyDescent="0.35">
      <c r="B56" s="195"/>
      <c r="C56" s="400"/>
      <c r="D56" s="195"/>
      <c r="E56" s="472"/>
      <c r="F56" s="195"/>
      <c r="G56" s="49"/>
      <c r="H56" s="487"/>
      <c r="I56" s="487"/>
      <c r="J56" s="488"/>
      <c r="K56" s="488"/>
      <c r="L56" s="401"/>
      <c r="M56" s="49"/>
      <c r="N56" s="49"/>
      <c r="O56" s="195"/>
      <c r="P56" s="195"/>
      <c r="Q56" s="49"/>
      <c r="R56" s="49"/>
      <c r="S56" s="49"/>
      <c r="T56" s="49"/>
      <c r="U56" s="49"/>
      <c r="V56" s="49"/>
      <c r="W56" s="49"/>
      <c r="X56" s="49"/>
      <c r="Y56" s="49"/>
    </row>
    <row r="57" spans="2:25" s="177" customFormat="1" ht="14.4" x14ac:dyDescent="0.3">
      <c r="B57" s="195"/>
      <c r="C57" s="400"/>
      <c r="D57" s="195"/>
      <c r="E57" s="472"/>
      <c r="F57" s="195"/>
      <c r="G57" s="229" t="s">
        <v>205</v>
      </c>
      <c r="H57" s="489" t="s">
        <v>206</v>
      </c>
      <c r="I57" s="489" t="s">
        <v>207</v>
      </c>
      <c r="J57" s="489" t="s">
        <v>208</v>
      </c>
      <c r="K57" s="490" t="s">
        <v>209</v>
      </c>
      <c r="L57" s="401"/>
      <c r="M57" s="49"/>
      <c r="N57" s="49"/>
      <c r="O57" s="195"/>
      <c r="P57" s="195"/>
      <c r="Q57" s="49"/>
      <c r="R57" s="49"/>
      <c r="S57" s="49"/>
      <c r="T57" s="49"/>
      <c r="U57" s="49"/>
      <c r="V57" s="49"/>
      <c r="W57" s="49"/>
      <c r="X57" s="49"/>
      <c r="Y57" s="49"/>
    </row>
    <row r="58" spans="2:25" s="177" customFormat="1" ht="15" thickBot="1" x14ac:dyDescent="0.35">
      <c r="B58" s="195"/>
      <c r="C58" s="400"/>
      <c r="D58" s="195"/>
      <c r="E58" s="472"/>
      <c r="F58" s="195"/>
      <c r="G58" s="491">
        <f>G96+G123+G153+G189</f>
        <v>7</v>
      </c>
      <c r="H58" s="492">
        <f>H96+H123+H153+H189</f>
        <v>82</v>
      </c>
      <c r="I58" s="492">
        <f>I96+I123+I153+I189</f>
        <v>8</v>
      </c>
      <c r="J58" s="492">
        <f>J96+J123+J153+J189</f>
        <v>50</v>
      </c>
      <c r="K58" s="493">
        <f>K96+K123+K153+K189</f>
        <v>147</v>
      </c>
      <c r="L58" s="401"/>
      <c r="M58" s="49"/>
      <c r="N58" s="49"/>
      <c r="O58" s="195"/>
      <c r="P58" s="195"/>
      <c r="Q58" s="49"/>
      <c r="R58" s="49"/>
      <c r="S58" s="49"/>
      <c r="T58" s="49"/>
      <c r="U58" s="49"/>
      <c r="V58" s="49"/>
      <c r="W58" s="49"/>
      <c r="X58" s="49"/>
      <c r="Y58" s="49"/>
    </row>
    <row r="59" spans="2:25" s="177" customFormat="1" ht="14.4" x14ac:dyDescent="0.3">
      <c r="B59" s="195"/>
      <c r="C59" s="400"/>
      <c r="D59" s="195"/>
      <c r="E59" s="195"/>
      <c r="F59" s="195"/>
      <c r="G59" s="195"/>
      <c r="H59" s="195"/>
      <c r="I59" s="195"/>
      <c r="J59" s="195"/>
      <c r="K59" s="195"/>
      <c r="L59" s="401"/>
      <c r="M59" s="49"/>
      <c r="N59" s="49"/>
      <c r="O59" s="195"/>
      <c r="P59" s="49"/>
      <c r="Q59" s="49"/>
      <c r="R59" s="49"/>
      <c r="S59" s="49"/>
      <c r="T59" s="49"/>
      <c r="U59" s="49"/>
      <c r="V59" s="49"/>
      <c r="W59" s="49"/>
      <c r="X59" s="49"/>
      <c r="Y59" s="195"/>
    </row>
    <row r="60" spans="2:25" s="177" customFormat="1" ht="14.4" hidden="1" x14ac:dyDescent="0.3">
      <c r="B60" s="195"/>
      <c r="C60" s="400"/>
      <c r="D60" s="195"/>
      <c r="E60" s="195"/>
      <c r="F60" s="195"/>
      <c r="G60" s="195"/>
      <c r="H60" s="195"/>
      <c r="I60" s="195"/>
      <c r="J60" s="195"/>
      <c r="K60" s="195"/>
      <c r="L60" s="401"/>
      <c r="M60" s="49"/>
      <c r="N60" s="49"/>
      <c r="O60" s="195"/>
      <c r="P60" s="49"/>
      <c r="Q60" s="49"/>
      <c r="R60" s="49"/>
      <c r="S60" s="49"/>
      <c r="T60" s="49"/>
      <c r="U60" s="49"/>
      <c r="V60" s="49"/>
      <c r="W60" s="49"/>
      <c r="X60" s="49"/>
      <c r="Y60" s="195"/>
    </row>
    <row r="61" spans="2:25" s="177" customFormat="1" ht="15" hidden="1" thickBot="1" x14ac:dyDescent="0.35">
      <c r="B61" s="195"/>
      <c r="C61" s="400"/>
      <c r="D61" s="195"/>
      <c r="E61" s="590" t="s">
        <v>210</v>
      </c>
      <c r="F61" s="591"/>
      <c r="G61" s="591"/>
      <c r="H61" s="591"/>
      <c r="I61" s="591"/>
      <c r="J61" s="591"/>
      <c r="K61" s="592"/>
      <c r="L61" s="401"/>
      <c r="M61" s="204"/>
      <c r="N61" s="195"/>
      <c r="O61" s="195"/>
      <c r="P61" s="49"/>
      <c r="Q61" s="49"/>
      <c r="R61" s="49"/>
      <c r="S61" s="49"/>
      <c r="T61" s="49"/>
      <c r="U61" s="49"/>
      <c r="V61" s="49"/>
      <c r="W61" s="49"/>
      <c r="X61" s="49"/>
      <c r="Y61" s="195"/>
    </row>
    <row r="62" spans="2:25" s="177" customFormat="1" ht="14.4" hidden="1" x14ac:dyDescent="0.3">
      <c r="B62" s="195"/>
      <c r="C62" s="400"/>
      <c r="D62" s="195"/>
      <c r="E62" s="205"/>
      <c r="F62" s="195"/>
      <c r="G62" s="206" t="s">
        <v>191</v>
      </c>
      <c r="H62" s="206" t="s">
        <v>192</v>
      </c>
      <c r="I62" s="206" t="s">
        <v>193</v>
      </c>
      <c r="J62" s="206" t="s">
        <v>212</v>
      </c>
      <c r="K62" s="207" t="s">
        <v>213</v>
      </c>
      <c r="L62" s="401"/>
      <c r="M62" s="195"/>
      <c r="N62" s="195"/>
      <c r="O62" s="195"/>
      <c r="P62" s="49"/>
      <c r="Q62" s="49"/>
      <c r="R62" s="49"/>
      <c r="S62" s="49"/>
      <c r="T62" s="49"/>
      <c r="U62" s="49"/>
      <c r="V62" s="49"/>
      <c r="W62" s="49"/>
      <c r="X62" s="49"/>
      <c r="Y62" s="195"/>
    </row>
    <row r="63" spans="2:25" s="177" customFormat="1" ht="14.4" hidden="1" x14ac:dyDescent="0.3">
      <c r="B63" s="195"/>
      <c r="C63" s="400"/>
      <c r="D63" s="195"/>
      <c r="E63" s="202" t="s">
        <v>214</v>
      </c>
      <c r="F63" s="195"/>
      <c r="G63" s="208">
        <f>IFERROR(IF(OR(RIGHT(G8,1)="%",ISNUMBER(G8)),H47*$G$8*H44,_xlfn.NUMBERVALUE(LEFT(G8,LEN(G8)-2))),0)</f>
        <v>30</v>
      </c>
      <c r="H63" s="208">
        <f>G63*I44</f>
        <v>10.5</v>
      </c>
      <c r="I63" s="208">
        <f>H63*J44</f>
        <v>2.625</v>
      </c>
      <c r="J63" s="209"/>
      <c r="K63" s="210"/>
      <c r="L63" s="401"/>
      <c r="M63" s="195"/>
      <c r="N63" s="195"/>
      <c r="O63" s="195"/>
      <c r="P63" s="49"/>
      <c r="Q63" s="49"/>
      <c r="R63" s="49"/>
      <c r="S63" s="49"/>
      <c r="T63" s="49"/>
      <c r="U63" s="49"/>
      <c r="V63" s="49"/>
      <c r="W63" s="49"/>
      <c r="X63" s="49"/>
      <c r="Y63" s="195"/>
    </row>
    <row r="64" spans="2:25" s="177" customFormat="1" ht="14.4" hidden="1" x14ac:dyDescent="0.3">
      <c r="B64" s="195"/>
      <c r="C64" s="400"/>
      <c r="D64" s="195"/>
      <c r="E64" s="202" t="s">
        <v>215</v>
      </c>
      <c r="F64" s="195"/>
      <c r="G64" s="211">
        <v>13</v>
      </c>
      <c r="H64" s="211">
        <v>36</v>
      </c>
      <c r="I64" s="211">
        <v>60</v>
      </c>
      <c r="J64" s="209"/>
      <c r="K64" s="210"/>
      <c r="L64" s="401"/>
      <c r="M64" s="195"/>
      <c r="N64" s="195"/>
      <c r="O64" s="195"/>
      <c r="P64" s="49"/>
      <c r="Q64" s="49"/>
      <c r="R64" s="49"/>
      <c r="S64" s="49"/>
      <c r="T64" s="49"/>
      <c r="U64" s="49"/>
      <c r="V64" s="49"/>
      <c r="W64" s="49"/>
      <c r="X64" s="49"/>
      <c r="Y64" s="195"/>
    </row>
    <row r="65" spans="2:25" s="177" customFormat="1" ht="14.4" hidden="1" x14ac:dyDescent="0.3">
      <c r="B65" s="195"/>
      <c r="C65" s="400"/>
      <c r="D65" s="195"/>
      <c r="E65" s="202" t="s">
        <v>216</v>
      </c>
      <c r="F65" s="195"/>
      <c r="G65" s="212">
        <f>H47</f>
        <v>12000</v>
      </c>
      <c r="H65" s="212">
        <f>I47</f>
        <v>3500</v>
      </c>
      <c r="I65" s="212">
        <f>J47</f>
        <v>2500</v>
      </c>
      <c r="J65" s="212">
        <f>SUM(G65:I65)</f>
        <v>18000</v>
      </c>
      <c r="K65" s="213">
        <f>J65*Cost_Setup!$H$7*12</f>
        <v>4968</v>
      </c>
      <c r="L65" s="401"/>
      <c r="M65" s="195"/>
      <c r="N65" s="195"/>
      <c r="O65" s="195"/>
      <c r="P65" s="49"/>
      <c r="Q65" s="49"/>
      <c r="R65" s="49"/>
      <c r="S65" s="49"/>
      <c r="T65" s="49"/>
      <c r="U65" s="49"/>
      <c r="V65" s="49"/>
      <c r="W65" s="49"/>
      <c r="X65" s="49"/>
      <c r="Y65" s="195"/>
    </row>
    <row r="66" spans="2:25" s="177" customFormat="1" ht="14.4" hidden="1" x14ac:dyDescent="0.3">
      <c r="B66" s="195"/>
      <c r="C66" s="400"/>
      <c r="D66" s="195"/>
      <c r="E66" s="202" t="s">
        <v>217</v>
      </c>
      <c r="F66" s="195"/>
      <c r="G66" s="212">
        <f>G65+(((G63*7)*52)/12)</f>
        <v>12910</v>
      </c>
      <c r="H66" s="212">
        <f>IFERROR(IF(OR(RIGHT(G8,1)="%",ISNUMBER(G8)),(H65*_xlfn.NUMBERVALUE($G$8))+H65,_xlfn.NUMBERVALUE(LEFT(G8,LEN(G8)-2))+H65),0)</f>
        <v>3530</v>
      </c>
      <c r="I66" s="212">
        <f>IFERROR(IF(OR(RIGHT(G8,1)="%",ISNUMBER(G8)),(I65*_xlfn.NUMBERVALUE($G$8))+I65,_xlfn.NUMBERVALUE(LEFT(G8,LEN(G8)-2))+I65),0)</f>
        <v>2530</v>
      </c>
      <c r="J66" s="212">
        <f t="shared" ref="J66:J69" si="2">SUM(G66:I66)</f>
        <v>18970</v>
      </c>
      <c r="K66" s="213">
        <f>J66*Cost_Setup!$H$7*12</f>
        <v>5235.72</v>
      </c>
      <c r="L66" s="401"/>
      <c r="M66" s="195"/>
      <c r="N66" s="195"/>
      <c r="O66" s="195"/>
      <c r="P66" s="49"/>
      <c r="Q66" s="49"/>
      <c r="R66" s="49"/>
      <c r="S66" s="49"/>
      <c r="T66" s="49"/>
      <c r="U66" s="49"/>
      <c r="V66" s="49"/>
      <c r="W66" s="49"/>
      <c r="X66" s="49"/>
      <c r="Y66" s="195"/>
    </row>
    <row r="67" spans="2:25" s="177" customFormat="1" ht="14.4" hidden="1" x14ac:dyDescent="0.3">
      <c r="B67" s="195"/>
      <c r="C67" s="400"/>
      <c r="D67" s="195"/>
      <c r="E67" s="202" t="s">
        <v>218</v>
      </c>
      <c r="F67" s="195"/>
      <c r="G67" s="212">
        <f>IFERROR(IF(OR(RIGHT(G8,1)="%",ISNUMBER(G8)),(G66*_xlfn.NUMBERVALUE($G$8))+G66,_xlfn.NUMBERVALUE(LEFT(G8,LEN(G8)-2))+G66),0)</f>
        <v>12940</v>
      </c>
      <c r="H67" s="212">
        <f>IFERROR(IF(OR(RIGHT(G8,1)="%",ISNUMBER(G8)),(H66*_xlfn.NUMBERVALUE($G$8))+H66,_xlfn.NUMBERVALUE(LEFT(G8,LEN(G8)-2))+H66),0)</f>
        <v>3560</v>
      </c>
      <c r="I67" s="212">
        <f>IFERROR(IF(OR(RIGHT(G8,1)="%",ISNUMBER(G8)),(I66*_xlfn.NUMBERVALUE($G$8))+I66,_xlfn.NUMBERVALUE(LEFT(G8,LEN(G8)-2))+I66),0)</f>
        <v>2560</v>
      </c>
      <c r="J67" s="212">
        <f t="shared" si="2"/>
        <v>19060</v>
      </c>
      <c r="K67" s="213">
        <f>J67*Cost_Setup!$H$7*12</f>
        <v>5260.5599999999995</v>
      </c>
      <c r="L67" s="401"/>
      <c r="M67" s="195"/>
      <c r="N67" s="195"/>
      <c r="O67" s="195"/>
      <c r="P67" s="49"/>
      <c r="Q67" s="49"/>
      <c r="R67" s="49"/>
      <c r="S67" s="49"/>
      <c r="T67" s="49"/>
      <c r="U67" s="49"/>
      <c r="V67" s="49"/>
      <c r="W67" s="49"/>
      <c r="X67" s="49"/>
      <c r="Y67" s="195"/>
    </row>
    <row r="68" spans="2:25" s="177" customFormat="1" ht="14.4" hidden="1" x14ac:dyDescent="0.3">
      <c r="B68" s="195"/>
      <c r="C68" s="400"/>
      <c r="D68" s="195"/>
      <c r="E68" s="202" t="s">
        <v>219</v>
      </c>
      <c r="F68" s="195"/>
      <c r="G68" s="212">
        <f>IFERROR(IF(OR(RIGHT(G8,1)="%",ISNUMBER(G8)),(G67*_xlfn.NUMBERVALUE($G$8))+G67,_xlfn.NUMBERVALUE(LEFT(G8,LEN(G8)-2))+G67),0)</f>
        <v>12970</v>
      </c>
      <c r="H68" s="212">
        <f>H66+((H$63*7*52)/12)</f>
        <v>3848.5</v>
      </c>
      <c r="I68" s="212">
        <f>IFERROR(IF(OR(RIGHT(G8,1)="%",ISNUMBER(G8)),(I67*_xlfn.NUMBERVALUE($G$8))+I67,_xlfn.NUMBERVALUE(LEFT(G8,LEN(G8)-2))+I67),0)</f>
        <v>2590</v>
      </c>
      <c r="J68" s="212">
        <f t="shared" si="2"/>
        <v>19408.5</v>
      </c>
      <c r="K68" s="213">
        <f>J68*Cost_Setup!$H$7*12</f>
        <v>5356.7459999999992</v>
      </c>
      <c r="L68" s="401"/>
      <c r="M68" s="195"/>
      <c r="N68" s="195"/>
      <c r="O68" s="195"/>
      <c r="P68" s="49"/>
      <c r="Q68" s="49"/>
      <c r="R68" s="49"/>
      <c r="S68" s="49"/>
      <c r="T68" s="49"/>
      <c r="U68" s="49"/>
      <c r="V68" s="49"/>
      <c r="W68" s="49"/>
      <c r="X68" s="49"/>
      <c r="Y68" s="195"/>
    </row>
    <row r="69" spans="2:25" s="177" customFormat="1" ht="15" hidden="1" thickBot="1" x14ac:dyDescent="0.35">
      <c r="B69" s="195"/>
      <c r="C69" s="400"/>
      <c r="D69" s="195"/>
      <c r="E69" s="203" t="s">
        <v>220</v>
      </c>
      <c r="F69" s="408"/>
      <c r="G69" s="214">
        <f>IFERROR(IF(OR(RIGHT(G8,1)="%",ISNUMBER(G8)),(G68*_xlfn.NUMBERVALUE($G$8))+G68,_xlfn.NUMBERVALUE(LEFT(G8,LEN(G8)-2))+G68),0)</f>
        <v>13000</v>
      </c>
      <c r="H69" s="214">
        <f>H67+((H$63*7*52)/12)</f>
        <v>3878.5</v>
      </c>
      <c r="I69" s="214">
        <f>IFERROR(IF(OR(RIGHT(G8,1)="%",ISNUMBER(G8)),(I68*_xlfn.NUMBERVALUE($G$8))+I68,_xlfn.NUMBERVALUE(LEFT(G8,LEN(G8)-2))+I68),0)</f>
        <v>2620</v>
      </c>
      <c r="J69" s="214">
        <f t="shared" si="2"/>
        <v>19498.5</v>
      </c>
      <c r="K69" s="215">
        <f>J69*Cost_Setup!$H$7*12</f>
        <v>5381.5860000000002</v>
      </c>
      <c r="L69" s="401"/>
      <c r="M69" s="195"/>
      <c r="N69" s="195"/>
      <c r="O69" s="195"/>
      <c r="P69" s="49"/>
      <c r="Q69" s="49"/>
      <c r="R69" s="49"/>
      <c r="S69" s="49"/>
      <c r="T69" s="49"/>
      <c r="U69" s="49"/>
      <c r="V69" s="49"/>
      <c r="W69" s="49"/>
      <c r="X69" s="49"/>
      <c r="Y69" s="195"/>
    </row>
    <row r="70" spans="2:25" s="177" customFormat="1" ht="14.4" hidden="1" x14ac:dyDescent="0.3">
      <c r="B70" s="195"/>
      <c r="C70" s="400"/>
      <c r="D70" s="195"/>
      <c r="E70" s="195"/>
      <c r="F70" s="195"/>
      <c r="G70" s="195"/>
      <c r="H70" s="195"/>
      <c r="I70" s="195"/>
      <c r="J70" s="195"/>
      <c r="K70" s="195"/>
      <c r="L70" s="401"/>
      <c r="M70" s="195"/>
      <c r="N70" s="195"/>
      <c r="O70" s="195"/>
      <c r="P70" s="49"/>
      <c r="Q70" s="49"/>
      <c r="R70" s="49"/>
      <c r="S70" s="49"/>
      <c r="T70" s="49"/>
      <c r="U70" s="49"/>
      <c r="V70" s="49"/>
      <c r="W70" s="49"/>
      <c r="X70" s="49"/>
      <c r="Y70" s="195"/>
    </row>
    <row r="71" spans="2:25" s="177" customFormat="1" ht="14.4" hidden="1" x14ac:dyDescent="0.3">
      <c r="B71" s="195"/>
      <c r="C71" s="400"/>
      <c r="D71" s="195"/>
      <c r="E71" s="195"/>
      <c r="F71" s="195"/>
      <c r="G71" s="195"/>
      <c r="H71" s="195"/>
      <c r="I71" s="195"/>
      <c r="J71" s="195"/>
      <c r="K71" s="195"/>
      <c r="L71" s="401"/>
      <c r="M71" s="195"/>
      <c r="N71" s="195"/>
      <c r="O71" s="195"/>
      <c r="P71" s="49"/>
      <c r="Q71" s="49"/>
      <c r="R71" s="49"/>
      <c r="S71" s="49"/>
      <c r="T71" s="49"/>
      <c r="U71" s="49"/>
      <c r="V71" s="49"/>
      <c r="W71" s="49"/>
      <c r="X71" s="49"/>
      <c r="Y71" s="195"/>
    </row>
    <row r="72" spans="2:25" s="177" customFormat="1" ht="14.4" hidden="1" x14ac:dyDescent="0.3">
      <c r="B72" s="195"/>
      <c r="C72" s="400"/>
      <c r="D72" s="195"/>
      <c r="E72" s="195"/>
      <c r="F72" s="195"/>
      <c r="G72" s="195"/>
      <c r="H72" s="195"/>
      <c r="I72" s="195"/>
      <c r="J72" s="195"/>
      <c r="K72" s="195"/>
      <c r="L72" s="401"/>
      <c r="M72" s="195"/>
      <c r="N72" s="195"/>
      <c r="O72" s="195"/>
      <c r="P72" s="49"/>
      <c r="Q72" s="49"/>
      <c r="R72" s="49"/>
      <c r="S72" s="49"/>
      <c r="T72" s="49"/>
      <c r="U72" s="49"/>
      <c r="V72" s="49"/>
      <c r="W72" s="49"/>
      <c r="X72" s="49"/>
      <c r="Y72" s="195"/>
    </row>
    <row r="73" spans="2:25" s="177" customFormat="1" ht="15" thickBot="1" x14ac:dyDescent="0.35">
      <c r="B73" s="195"/>
      <c r="C73" s="409"/>
      <c r="D73" s="408"/>
      <c r="E73" s="408"/>
      <c r="F73" s="408"/>
      <c r="G73" s="408"/>
      <c r="H73" s="408"/>
      <c r="I73" s="408"/>
      <c r="J73" s="408"/>
      <c r="K73" s="408"/>
      <c r="L73" s="410"/>
      <c r="M73" s="195"/>
      <c r="N73" s="195"/>
      <c r="O73" s="195"/>
      <c r="P73" s="49"/>
      <c r="Q73" s="49"/>
      <c r="R73" s="49"/>
      <c r="S73" s="49"/>
      <c r="T73" s="49"/>
      <c r="U73" s="49"/>
      <c r="V73" s="49"/>
      <c r="W73" s="49"/>
      <c r="X73" s="49"/>
      <c r="Y73" s="195"/>
    </row>
    <row r="74" spans="2:25" s="177" customFormat="1" ht="14.4" x14ac:dyDescent="0.3">
      <c r="B74" s="49"/>
      <c r="C74" s="49"/>
      <c r="D74" s="49"/>
      <c r="E74" s="49"/>
      <c r="F74" s="49"/>
      <c r="G74" s="49"/>
      <c r="H74" s="49"/>
      <c r="I74" s="49"/>
      <c r="J74" s="49"/>
      <c r="K74" s="49"/>
      <c r="L74" s="49"/>
      <c r="M74" s="49"/>
      <c r="N74" s="49"/>
      <c r="O74" s="195"/>
      <c r="P74" s="49"/>
      <c r="Q74" s="49"/>
      <c r="R74" s="49"/>
      <c r="S74" s="49"/>
      <c r="T74" s="49"/>
      <c r="U74" s="49"/>
      <c r="V74" s="49"/>
      <c r="W74" s="49"/>
      <c r="X74" s="49"/>
      <c r="Y74" s="195"/>
    </row>
    <row r="75" spans="2:25" s="177" customFormat="1" ht="15" thickBot="1" x14ac:dyDescent="0.35">
      <c r="B75" s="195"/>
      <c r="C75" s="195"/>
      <c r="D75" s="195"/>
      <c r="E75" s="195"/>
      <c r="F75" s="195"/>
      <c r="G75" s="195"/>
      <c r="H75" s="195"/>
      <c r="I75" s="195"/>
      <c r="J75" s="195"/>
      <c r="K75" s="195"/>
      <c r="L75" s="195"/>
      <c r="M75" s="195"/>
      <c r="N75" s="195"/>
      <c r="O75" s="195"/>
      <c r="P75" s="49"/>
      <c r="Q75" s="49"/>
      <c r="R75" s="49"/>
      <c r="S75" s="49"/>
      <c r="T75" s="49"/>
      <c r="U75" s="49"/>
      <c r="V75" s="49"/>
      <c r="W75" s="49"/>
      <c r="X75" s="49"/>
      <c r="Y75" s="195"/>
    </row>
    <row r="76" spans="2:25" s="177" customFormat="1" ht="23.4" x14ac:dyDescent="0.45">
      <c r="B76" s="195"/>
      <c r="C76" s="188" t="s">
        <v>221</v>
      </c>
      <c r="D76" s="398"/>
      <c r="E76" s="398"/>
      <c r="F76" s="398"/>
      <c r="G76" s="398"/>
      <c r="H76" s="398"/>
      <c r="I76" s="398"/>
      <c r="J76" s="398"/>
      <c r="K76" s="398"/>
      <c r="L76" s="399"/>
      <c r="M76" s="195"/>
      <c r="N76" s="195"/>
      <c r="O76" s="195"/>
      <c r="P76" s="49"/>
      <c r="Q76" s="49"/>
      <c r="R76" s="49"/>
      <c r="S76" s="49"/>
      <c r="T76" s="49"/>
      <c r="U76" s="49"/>
      <c r="V76" s="49"/>
      <c r="W76" s="49"/>
      <c r="X76" s="49"/>
      <c r="Y76" s="195"/>
    </row>
    <row r="77" spans="2:25" s="177" customFormat="1" ht="14.4" x14ac:dyDescent="0.3">
      <c r="B77" s="195"/>
      <c r="C77" s="400"/>
      <c r="D77" s="195"/>
      <c r="E77" s="195"/>
      <c r="F77" s="195"/>
      <c r="G77" s="195"/>
      <c r="H77" s="195"/>
      <c r="I77" s="195"/>
      <c r="J77" s="195"/>
      <c r="K77" s="195"/>
      <c r="L77" s="401"/>
      <c r="M77" s="195"/>
      <c r="N77" s="195"/>
      <c r="O77" s="195"/>
      <c r="P77" s="49"/>
      <c r="Q77" s="49"/>
      <c r="R77" s="49"/>
      <c r="S77" s="49"/>
      <c r="T77" s="49"/>
      <c r="U77" s="49"/>
      <c r="V77" s="49"/>
      <c r="W77" s="49"/>
      <c r="X77" s="49"/>
      <c r="Y77" s="195"/>
    </row>
    <row r="78" spans="2:25" s="177" customFormat="1" ht="15" thickBot="1" x14ac:dyDescent="0.35">
      <c r="B78" s="195"/>
      <c r="C78" s="400"/>
      <c r="D78" s="195"/>
      <c r="E78" s="195"/>
      <c r="F78" s="195"/>
      <c r="G78" s="195"/>
      <c r="H78" s="195"/>
      <c r="I78" s="195"/>
      <c r="J78" s="195"/>
      <c r="K78" s="195"/>
      <c r="L78" s="401"/>
      <c r="M78" s="195"/>
      <c r="N78" s="195"/>
      <c r="O78" s="195"/>
      <c r="P78" s="49"/>
      <c r="Q78" s="49"/>
      <c r="R78" s="49"/>
      <c r="S78" s="49"/>
      <c r="T78" s="49"/>
      <c r="U78" s="49"/>
      <c r="V78" s="49"/>
      <c r="W78" s="49"/>
      <c r="X78" s="49"/>
      <c r="Y78" s="195"/>
    </row>
    <row r="79" spans="2:25" s="177" customFormat="1" ht="28.8" x14ac:dyDescent="0.3">
      <c r="B79" s="195"/>
      <c r="C79" s="400"/>
      <c r="D79" s="195"/>
      <c r="E79" s="195"/>
      <c r="F79" s="195"/>
      <c r="G79" s="216" t="s">
        <v>222</v>
      </c>
      <c r="H79" s="216" t="s">
        <v>223</v>
      </c>
      <c r="I79" s="216" t="s">
        <v>224</v>
      </c>
      <c r="J79" s="195"/>
      <c r="K79" s="195"/>
      <c r="L79" s="401"/>
      <c r="M79" s="195"/>
      <c r="N79" s="195"/>
      <c r="O79" s="195"/>
      <c r="P79" s="49"/>
      <c r="Q79" s="49"/>
      <c r="R79" s="49"/>
      <c r="S79" s="49"/>
      <c r="T79" s="49"/>
      <c r="U79" s="49"/>
      <c r="V79" s="49"/>
      <c r="W79" s="49"/>
      <c r="X79" s="49"/>
      <c r="Y79" s="195"/>
    </row>
    <row r="80" spans="2:25" s="177" customFormat="1" ht="14.4" x14ac:dyDescent="0.3">
      <c r="B80" s="195"/>
      <c r="C80" s="400"/>
      <c r="D80" s="195"/>
      <c r="E80" s="217" t="s">
        <v>221</v>
      </c>
      <c r="F80" s="49"/>
      <c r="G80" s="218">
        <f>SUM(J90+J93+K96)</f>
        <v>1318</v>
      </c>
      <c r="H80" s="218">
        <f>G80*7</f>
        <v>9226</v>
      </c>
      <c r="I80" s="218">
        <f>H80*52/12</f>
        <v>39979.333333333336</v>
      </c>
      <c r="J80" s="195"/>
      <c r="K80" s="195"/>
      <c r="L80" s="401"/>
      <c r="M80" s="195"/>
      <c r="N80" s="195"/>
      <c r="O80" s="195"/>
      <c r="P80" s="49"/>
      <c r="Q80" s="49"/>
      <c r="R80" s="49"/>
      <c r="S80" s="49"/>
      <c r="T80" s="49"/>
      <c r="U80" s="49"/>
      <c r="V80" s="49"/>
      <c r="W80" s="49"/>
      <c r="X80" s="49"/>
      <c r="Y80" s="195"/>
    </row>
    <row r="81" spans="2:25" s="177" customFormat="1" ht="14.4" x14ac:dyDescent="0.3">
      <c r="B81" s="195"/>
      <c r="C81" s="400"/>
      <c r="D81" s="195"/>
      <c r="E81" s="219" t="s">
        <v>225</v>
      </c>
      <c r="F81" s="49"/>
      <c r="G81" s="220" t="str">
        <f>VLOOKUP($G$80,FabricMapping!$C$11:$F$21,4,1)</f>
        <v>F2</v>
      </c>
      <c r="H81" s="220" t="str">
        <f>VLOOKUP($H$80,FabricMapping!$D$11:$F$21,3,1)</f>
        <v>F2</v>
      </c>
      <c r="I81" s="220" t="str">
        <f>VLOOKUP($I$80,FabricMapping!$E$11:$F$21,2,1)</f>
        <v>F2</v>
      </c>
      <c r="J81" s="195"/>
      <c r="K81" s="195"/>
      <c r="L81" s="401"/>
      <c r="M81" s="195"/>
      <c r="N81" s="195"/>
      <c r="O81" s="195"/>
      <c r="P81" s="49"/>
      <c r="Q81" s="49"/>
      <c r="R81" s="49"/>
      <c r="S81" s="49"/>
      <c r="T81" s="49"/>
      <c r="U81" s="49"/>
      <c r="V81" s="49"/>
      <c r="W81" s="49"/>
      <c r="X81" s="49"/>
      <c r="Y81" s="195"/>
    </row>
    <row r="82" spans="2:25" s="177" customFormat="1" ht="14.4" x14ac:dyDescent="0.3">
      <c r="B82" s="195"/>
      <c r="C82" s="400"/>
      <c r="D82" s="195"/>
      <c r="E82" s="219" t="s">
        <v>226</v>
      </c>
      <c r="F82" s="49"/>
      <c r="G82" s="218">
        <f>VLOOKUP(G81,FabricMapping!$F$10:$J$21,3,0)</f>
        <v>2880</v>
      </c>
      <c r="H82" s="218">
        <f>VLOOKUP(H81,FabricMapping!$F$10:$J$21,4,0)</f>
        <v>20160</v>
      </c>
      <c r="I82" s="218">
        <f>VLOOKUP(I81,FabricMapping!$F$10:$J$21,5,0)</f>
        <v>87360</v>
      </c>
      <c r="J82" s="195"/>
      <c r="K82" s="195"/>
      <c r="L82" s="401"/>
      <c r="M82" s="195"/>
      <c r="N82" s="195"/>
      <c r="O82" s="195"/>
      <c r="P82" s="49"/>
      <c r="Q82" s="49"/>
      <c r="R82" s="49"/>
      <c r="S82" s="49"/>
      <c r="T82" s="49"/>
      <c r="U82" s="49"/>
      <c r="V82" s="49"/>
      <c r="W82" s="49"/>
      <c r="X82" s="49"/>
      <c r="Y82" s="195"/>
    </row>
    <row r="83" spans="2:25" s="177" customFormat="1" ht="18" hidden="1" x14ac:dyDescent="0.35">
      <c r="B83" s="221"/>
      <c r="C83" s="400"/>
      <c r="D83" s="195"/>
      <c r="E83" s="219" t="s">
        <v>227</v>
      </c>
      <c r="F83" s="49"/>
      <c r="G83" s="222">
        <f>G82*Cost_Setup!$F$7/60</f>
        <v>8.6399999999999988</v>
      </c>
      <c r="H83" s="222">
        <f>H82*Cost_Setup!$F$7/60</f>
        <v>60.48</v>
      </c>
      <c r="I83" s="222">
        <f>I82*Cost_Setup!$F$7/60</f>
        <v>262.08</v>
      </c>
      <c r="J83" s="195"/>
      <c r="K83" s="195"/>
      <c r="L83" s="401"/>
      <c r="M83" s="195"/>
      <c r="N83" s="195"/>
      <c r="O83" s="195"/>
      <c r="P83" s="49"/>
      <c r="Q83" s="49"/>
      <c r="R83" s="49"/>
      <c r="S83" s="49"/>
      <c r="T83" s="49"/>
      <c r="U83" s="49"/>
      <c r="V83" s="49"/>
      <c r="W83" s="49"/>
      <c r="X83" s="49"/>
      <c r="Y83" s="195"/>
    </row>
    <row r="84" spans="2:25" s="177" customFormat="1" ht="14.4" x14ac:dyDescent="0.3">
      <c r="B84" s="195"/>
      <c r="C84" s="400"/>
      <c r="D84" s="195"/>
      <c r="E84" s="219" t="s">
        <v>228</v>
      </c>
      <c r="F84" s="49"/>
      <c r="G84" s="223">
        <f>G80/G82</f>
        <v>0.45763888888888887</v>
      </c>
      <c r="H84" s="223">
        <f t="shared" ref="H84:I84" si="3">H80/H82</f>
        <v>0.45763888888888887</v>
      </c>
      <c r="I84" s="223">
        <f t="shared" si="3"/>
        <v>0.45763888888888893</v>
      </c>
      <c r="J84" s="195"/>
      <c r="K84" s="195"/>
      <c r="L84" s="401"/>
      <c r="M84" s="195"/>
      <c r="N84" s="195"/>
      <c r="O84" s="195"/>
      <c r="P84" s="49"/>
      <c r="Q84" s="49"/>
      <c r="R84" s="49"/>
      <c r="S84" s="49"/>
      <c r="T84" s="49"/>
      <c r="U84" s="49"/>
      <c r="V84" s="49"/>
      <c r="W84" s="49"/>
      <c r="X84" s="49"/>
      <c r="Y84" s="195"/>
    </row>
    <row r="85" spans="2:25" s="177" customFormat="1" ht="14.4" x14ac:dyDescent="0.3">
      <c r="B85" s="195"/>
      <c r="C85" s="400"/>
      <c r="D85" s="195"/>
      <c r="E85" s="195"/>
      <c r="F85" s="195"/>
      <c r="G85" s="195"/>
      <c r="H85" s="195"/>
      <c r="I85" s="195"/>
      <c r="J85" s="195"/>
      <c r="K85" s="195"/>
      <c r="L85" s="401"/>
      <c r="M85" s="195"/>
      <c r="N85" s="195"/>
      <c r="O85" s="195"/>
      <c r="P85" s="49"/>
      <c r="Q85" s="49"/>
      <c r="R85" s="49"/>
      <c r="S85" s="49"/>
      <c r="T85" s="49"/>
      <c r="U85" s="49"/>
      <c r="V85" s="49"/>
      <c r="W85" s="49"/>
      <c r="X85" s="49"/>
      <c r="Y85" s="195"/>
    </row>
    <row r="86" spans="2:25" s="177" customFormat="1" ht="14.4" x14ac:dyDescent="0.3">
      <c r="B86" s="195"/>
      <c r="C86" s="400"/>
      <c r="D86" s="195"/>
      <c r="E86" s="195"/>
      <c r="F86" s="195"/>
      <c r="G86" s="195"/>
      <c r="H86" s="195"/>
      <c r="I86" s="195"/>
      <c r="J86" s="195"/>
      <c r="K86" s="195"/>
      <c r="L86" s="401"/>
      <c r="M86" s="195"/>
      <c r="N86" s="195"/>
      <c r="O86" s="195"/>
      <c r="P86" s="49"/>
      <c r="Q86" s="49"/>
      <c r="R86" s="49"/>
      <c r="S86" s="49"/>
      <c r="T86" s="49"/>
      <c r="U86" s="49"/>
      <c r="V86" s="49"/>
      <c r="W86" s="49"/>
      <c r="X86" s="49"/>
      <c r="Y86" s="195"/>
    </row>
    <row r="87" spans="2:25" s="177" customFormat="1" ht="15" thickBot="1" x14ac:dyDescent="0.35">
      <c r="B87" s="195"/>
      <c r="C87" s="400"/>
      <c r="D87" s="195"/>
      <c r="E87" s="195"/>
      <c r="F87" s="195"/>
      <c r="G87" s="195"/>
      <c r="H87" s="195"/>
      <c r="I87" s="195"/>
      <c r="J87" s="195"/>
      <c r="K87" s="195"/>
      <c r="L87" s="401"/>
      <c r="M87" s="195"/>
      <c r="N87" s="195"/>
      <c r="O87" s="195"/>
      <c r="P87" s="49"/>
      <c r="Q87" s="49"/>
      <c r="R87" s="49"/>
      <c r="S87" s="49"/>
      <c r="T87" s="49"/>
      <c r="U87" s="49"/>
      <c r="V87" s="49"/>
      <c r="W87" s="49"/>
      <c r="X87" s="49"/>
      <c r="Y87" s="195"/>
    </row>
    <row r="88" spans="2:25" s="177" customFormat="1" ht="14.4" x14ac:dyDescent="0.3">
      <c r="B88" s="195"/>
      <c r="C88" s="400"/>
      <c r="D88" s="195"/>
      <c r="E88" s="561" t="s">
        <v>229</v>
      </c>
      <c r="F88" s="195"/>
      <c r="G88" s="563" t="s">
        <v>230</v>
      </c>
      <c r="H88" s="564"/>
      <c r="I88" s="564"/>
      <c r="J88" s="564"/>
      <c r="K88" s="565"/>
      <c r="L88" s="401"/>
      <c r="M88" s="195"/>
      <c r="N88" s="195"/>
      <c r="O88" s="195"/>
      <c r="P88" s="49"/>
      <c r="Q88" s="49"/>
      <c r="R88" s="49"/>
      <c r="S88" s="49"/>
      <c r="T88" s="49"/>
      <c r="U88" s="49"/>
      <c r="V88" s="49"/>
      <c r="W88" s="49"/>
      <c r="X88" s="49"/>
      <c r="Y88" s="195"/>
    </row>
    <row r="89" spans="2:25" s="177" customFormat="1" ht="14.4" x14ac:dyDescent="0.3">
      <c r="B89" s="195"/>
      <c r="C89" s="400"/>
      <c r="D89" s="195"/>
      <c r="E89" s="561"/>
      <c r="F89" s="195"/>
      <c r="G89" s="202" t="s">
        <v>231</v>
      </c>
      <c r="H89" s="567" t="s">
        <v>232</v>
      </c>
      <c r="I89" s="567"/>
      <c r="J89" s="567" t="s">
        <v>233</v>
      </c>
      <c r="K89" s="568"/>
      <c r="L89" s="401"/>
      <c r="M89" s="195"/>
      <c r="N89" s="195"/>
      <c r="O89" s="195"/>
      <c r="P89" s="49"/>
      <c r="Q89" s="49"/>
      <c r="R89" s="49"/>
      <c r="S89" s="49"/>
      <c r="T89" s="49"/>
      <c r="U89" s="49"/>
      <c r="V89" s="49"/>
      <c r="W89" s="49"/>
      <c r="X89" s="49"/>
      <c r="Y89" s="195"/>
    </row>
    <row r="90" spans="2:25" s="177" customFormat="1" ht="15" thickBot="1" x14ac:dyDescent="0.35">
      <c r="B90" s="195"/>
      <c r="C90" s="400"/>
      <c r="D90" s="195"/>
      <c r="E90" s="561"/>
      <c r="F90" s="195"/>
      <c r="G90" s="225">
        <f>IFERROR(IF(OR(RIGHT(G8,1)="%",ISNUMBER(G8)),ROUNDUP((($H$46*1024)*$G$8)/ROUNDUP($G$6*110%,0),0),ROUNDUP(((LEFT(G8,LEN(G8)-2)*1024))/ROUNDUP($G$6*110%,0),0)),0)</f>
        <v>28</v>
      </c>
      <c r="H90" s="570">
        <f>IFERROR(ROUNDUP(((($G$90/((1000/8)*$L$14))+10)*(4*FabricMapping!$AN$26))/60,2),0)</f>
        <v>1.03</v>
      </c>
      <c r="I90" s="570"/>
      <c r="J90" s="570">
        <f>ROUNDUP($H$90*($G$6*110%),0)*$G$5</f>
        <v>1133</v>
      </c>
      <c r="K90" s="571"/>
      <c r="L90" s="401"/>
      <c r="M90" s="195"/>
      <c r="N90" s="228"/>
      <c r="O90" s="195"/>
      <c r="P90" s="49"/>
      <c r="Q90" s="49"/>
      <c r="R90" s="49"/>
      <c r="S90" s="49"/>
      <c r="T90" s="49"/>
      <c r="U90" s="49"/>
      <c r="V90" s="49"/>
      <c r="W90" s="49"/>
      <c r="X90" s="49"/>
      <c r="Y90" s="195"/>
    </row>
    <row r="91" spans="2:25" s="177" customFormat="1" ht="15" thickBot="1" x14ac:dyDescent="0.35">
      <c r="B91" s="195"/>
      <c r="C91" s="400"/>
      <c r="D91" s="195"/>
      <c r="E91" s="561"/>
      <c r="F91" s="195"/>
      <c r="G91" s="195"/>
      <c r="H91" s="195"/>
      <c r="I91" s="195"/>
      <c r="J91" s="195"/>
      <c r="K91" s="195"/>
      <c r="L91" s="401"/>
      <c r="M91" s="195"/>
      <c r="N91" s="195"/>
      <c r="O91" s="195"/>
      <c r="P91" s="49"/>
      <c r="Q91" s="49"/>
      <c r="R91" s="49"/>
      <c r="S91" s="49"/>
      <c r="T91" s="49"/>
      <c r="U91" s="49"/>
      <c r="V91" s="49"/>
      <c r="W91" s="49"/>
      <c r="X91" s="49"/>
      <c r="Y91" s="195"/>
    </row>
    <row r="92" spans="2:25" s="177" customFormat="1" ht="14.4" x14ac:dyDescent="0.3">
      <c r="B92" s="195"/>
      <c r="C92" s="400"/>
      <c r="D92" s="195"/>
      <c r="E92" s="561"/>
      <c r="F92" s="195"/>
      <c r="G92" s="229" t="s">
        <v>234</v>
      </c>
      <c r="H92" s="577" t="s">
        <v>232</v>
      </c>
      <c r="I92" s="577" t="s">
        <v>235</v>
      </c>
      <c r="J92" s="577" t="s">
        <v>235</v>
      </c>
      <c r="K92" s="578"/>
      <c r="L92" s="401"/>
      <c r="M92" s="195"/>
      <c r="N92" s="195"/>
      <c r="O92" s="195"/>
      <c r="P92" s="49"/>
      <c r="Q92" s="49"/>
      <c r="R92" s="49"/>
      <c r="S92" s="49"/>
      <c r="T92" s="49"/>
      <c r="U92" s="49"/>
      <c r="V92" s="49"/>
      <c r="W92" s="49"/>
      <c r="X92" s="49"/>
      <c r="Y92" s="195"/>
    </row>
    <row r="93" spans="2:25" s="177" customFormat="1" ht="18.75" customHeight="1" thickBot="1" x14ac:dyDescent="0.35">
      <c r="B93" s="195"/>
      <c r="C93" s="400"/>
      <c r="D93" s="195"/>
      <c r="E93" s="561"/>
      <c r="F93" s="195"/>
      <c r="G93" s="225">
        <v>25</v>
      </c>
      <c r="H93" s="570">
        <f>(G93)*(0.336/60)</f>
        <v>0.13999999999999999</v>
      </c>
      <c r="I93" s="570"/>
      <c r="J93" s="570">
        <f>H93*$G$6*$G$5</f>
        <v>139.99999999999997</v>
      </c>
      <c r="K93" s="571"/>
      <c r="L93" s="401"/>
      <c r="M93" s="195"/>
      <c r="N93" s="228"/>
      <c r="O93" s="195"/>
      <c r="P93" s="49"/>
      <c r="Q93" s="49"/>
      <c r="R93" s="49"/>
      <c r="S93" s="49"/>
      <c r="T93" s="49"/>
      <c r="U93" s="49"/>
      <c r="V93" s="49"/>
      <c r="W93" s="49"/>
      <c r="X93" s="49"/>
      <c r="Y93" s="195"/>
    </row>
    <row r="94" spans="2:25" s="177" customFormat="1" ht="14.4" x14ac:dyDescent="0.3">
      <c r="B94" s="195"/>
      <c r="C94" s="400"/>
      <c r="D94" s="195"/>
      <c r="E94" s="561"/>
      <c r="F94" s="195"/>
      <c r="G94" s="195"/>
      <c r="H94" s="195"/>
      <c r="I94" s="195"/>
      <c r="J94" s="195"/>
      <c r="K94" s="195"/>
      <c r="L94" s="401"/>
      <c r="M94" s="195"/>
      <c r="N94" s="195"/>
      <c r="O94" s="195"/>
      <c r="P94" s="49"/>
      <c r="Q94" s="49"/>
      <c r="R94" s="49"/>
      <c r="S94" s="49"/>
      <c r="T94" s="49"/>
      <c r="U94" s="49"/>
      <c r="V94" s="49"/>
      <c r="W94" s="49"/>
      <c r="X94" s="49"/>
      <c r="Y94" s="195"/>
    </row>
    <row r="95" spans="2:25" s="177" customFormat="1" ht="14.4" x14ac:dyDescent="0.3">
      <c r="B95" s="195"/>
      <c r="C95" s="400"/>
      <c r="D95" s="195"/>
      <c r="E95" s="561"/>
      <c r="F95" s="195"/>
      <c r="G95" s="481" t="s">
        <v>205</v>
      </c>
      <c r="H95" s="482" t="s">
        <v>236</v>
      </c>
      <c r="I95" s="482" t="s">
        <v>237</v>
      </c>
      <c r="J95" s="482" t="s">
        <v>238</v>
      </c>
      <c r="K95" s="483" t="s">
        <v>209</v>
      </c>
      <c r="L95" s="401"/>
      <c r="M95" s="195"/>
      <c r="N95" s="195"/>
      <c r="O95" s="195"/>
      <c r="P95" s="49"/>
      <c r="Q95" s="49"/>
      <c r="R95" s="49"/>
      <c r="S95" s="49"/>
      <c r="T95" s="49"/>
      <c r="U95" s="49"/>
      <c r="V95" s="49"/>
      <c r="W95" s="49"/>
      <c r="X95" s="49"/>
      <c r="Y95" s="195"/>
    </row>
    <row r="96" spans="2:25" s="177" customFormat="1" ht="14.4" x14ac:dyDescent="0.3">
      <c r="B96" s="195"/>
      <c r="C96" s="400"/>
      <c r="D96" s="195"/>
      <c r="E96" s="561"/>
      <c r="F96" s="195"/>
      <c r="G96" s="484">
        <f>ROUNDUP(($G$6*$G$5)*FabricMapping!$AR$61,0)</f>
        <v>1</v>
      </c>
      <c r="H96" s="485">
        <f>ROUNDUP((($G$90/4)*$G$6*$G$5)*FabricMapping!$AR$62,0)</f>
        <v>19</v>
      </c>
      <c r="I96" s="485">
        <f>ROUNDUP(($G$6*$G$5)*FabricMapping!$AR$63,0)</f>
        <v>3</v>
      </c>
      <c r="J96" s="485">
        <f>ROUNDUP(($G$6*$G$5)*FabricMapping!$AR$64,0)</f>
        <v>22</v>
      </c>
      <c r="K96" s="486">
        <f>SUM(G96:J96)</f>
        <v>45</v>
      </c>
      <c r="L96" s="401"/>
      <c r="M96" s="195"/>
      <c r="N96" s="195"/>
      <c r="O96" s="195"/>
      <c r="P96" s="49"/>
      <c r="Q96" s="49"/>
      <c r="R96" s="49"/>
      <c r="S96" s="49"/>
      <c r="T96" s="49"/>
      <c r="U96" s="49"/>
      <c r="V96" s="49"/>
      <c r="W96" s="49"/>
      <c r="X96" s="49"/>
      <c r="Y96" s="195"/>
    </row>
    <row r="97" spans="2:24" s="177" customFormat="1" ht="15" thickBot="1" x14ac:dyDescent="0.35">
      <c r="B97" s="195"/>
      <c r="C97" s="409"/>
      <c r="D97" s="408"/>
      <c r="E97" s="408"/>
      <c r="F97" s="408"/>
      <c r="G97" s="408"/>
      <c r="H97" s="408"/>
      <c r="I97" s="408"/>
      <c r="J97" s="408"/>
      <c r="K97" s="408"/>
      <c r="L97" s="410"/>
      <c r="M97" s="195"/>
      <c r="N97" s="195"/>
      <c r="O97" s="195"/>
      <c r="P97" s="49"/>
      <c r="Q97" s="49"/>
      <c r="R97" s="49"/>
      <c r="S97" s="49"/>
      <c r="T97" s="49"/>
      <c r="U97" s="49"/>
      <c r="V97" s="49"/>
      <c r="W97" s="49"/>
      <c r="X97" s="49"/>
    </row>
    <row r="98" spans="2:24" s="177" customFormat="1" ht="14.4" x14ac:dyDescent="0.3">
      <c r="B98" s="195"/>
      <c r="C98" s="195"/>
      <c r="D98" s="195"/>
      <c r="E98" s="195"/>
      <c r="F98" s="195"/>
      <c r="G98" s="195"/>
      <c r="H98" s="195"/>
      <c r="I98" s="195"/>
      <c r="J98" s="195"/>
      <c r="K98" s="195"/>
      <c r="L98" s="195"/>
      <c r="M98" s="195"/>
      <c r="N98" s="195"/>
      <c r="O98" s="195"/>
      <c r="P98" s="49"/>
      <c r="Q98" s="49"/>
      <c r="R98" s="49"/>
      <c r="S98" s="49"/>
      <c r="T98" s="49"/>
      <c r="U98" s="49"/>
      <c r="V98" s="49"/>
      <c r="W98" s="49"/>
      <c r="X98" s="49"/>
    </row>
    <row r="99" spans="2:24" s="177" customFormat="1" ht="14.4" x14ac:dyDescent="0.3">
      <c r="B99" s="195"/>
      <c r="C99" s="195"/>
      <c r="D99" s="195"/>
      <c r="E99" s="195"/>
      <c r="F99" s="195"/>
      <c r="G99" s="195"/>
      <c r="H99" s="195"/>
      <c r="I99" s="195"/>
      <c r="J99" s="195"/>
      <c r="K99" s="195"/>
      <c r="L99" s="195"/>
      <c r="M99" s="195"/>
      <c r="N99" s="195"/>
      <c r="O99" s="195"/>
      <c r="P99" s="49"/>
      <c r="Q99" s="49"/>
      <c r="R99" s="49"/>
      <c r="S99" s="49"/>
      <c r="T99" s="49"/>
      <c r="U99" s="49"/>
      <c r="V99" s="49"/>
      <c r="W99" s="49"/>
      <c r="X99" s="49"/>
    </row>
    <row r="100" spans="2:24" s="177" customFormat="1" ht="15" thickBot="1" x14ac:dyDescent="0.35">
      <c r="B100" s="195"/>
      <c r="C100" s="195"/>
      <c r="D100" s="195"/>
      <c r="E100" s="195"/>
      <c r="F100" s="195"/>
      <c r="G100" s="195"/>
      <c r="H100" s="195"/>
      <c r="I100" s="195"/>
      <c r="J100" s="195"/>
      <c r="K100" s="195"/>
      <c r="L100" s="195"/>
      <c r="M100" s="195"/>
      <c r="N100" s="195"/>
      <c r="O100" s="195"/>
      <c r="P100" s="49"/>
      <c r="Q100" s="49"/>
      <c r="R100" s="49"/>
      <c r="S100" s="49"/>
      <c r="T100" s="49"/>
      <c r="U100" s="49"/>
      <c r="V100" s="49"/>
      <c r="W100" s="49"/>
      <c r="X100" s="49"/>
    </row>
    <row r="101" spans="2:24" s="177" customFormat="1" ht="23.4" x14ac:dyDescent="0.45">
      <c r="B101" s="195"/>
      <c r="C101" s="188" t="s">
        <v>239</v>
      </c>
      <c r="D101" s="398"/>
      <c r="E101" s="398"/>
      <c r="F101" s="398"/>
      <c r="G101" s="398"/>
      <c r="H101" s="398"/>
      <c r="I101" s="398"/>
      <c r="J101" s="398"/>
      <c r="K101" s="398"/>
      <c r="L101" s="399"/>
      <c r="M101" s="195"/>
      <c r="N101" s="195"/>
      <c r="O101" s="195"/>
      <c r="P101" s="49"/>
      <c r="Q101" s="49"/>
      <c r="R101" s="49"/>
      <c r="S101" s="49"/>
      <c r="T101" s="49"/>
      <c r="U101" s="49"/>
      <c r="V101" s="49"/>
      <c r="W101" s="49"/>
      <c r="X101" s="49"/>
    </row>
    <row r="102" spans="2:24" s="177" customFormat="1" ht="14.4" x14ac:dyDescent="0.3">
      <c r="B102" s="195"/>
      <c r="C102" s="400"/>
      <c r="D102" s="195"/>
      <c r="E102" s="195"/>
      <c r="F102" s="195"/>
      <c r="G102" s="195"/>
      <c r="H102" s="195"/>
      <c r="I102" s="195"/>
      <c r="J102" s="195"/>
      <c r="K102" s="195"/>
      <c r="L102" s="401"/>
      <c r="M102" s="195"/>
      <c r="N102" s="195"/>
      <c r="O102" s="195"/>
      <c r="P102" s="49"/>
      <c r="Q102" s="49"/>
      <c r="R102" s="49"/>
      <c r="S102" s="49"/>
      <c r="T102" s="49"/>
      <c r="U102" s="49"/>
      <c r="V102" s="49"/>
      <c r="W102" s="49"/>
      <c r="X102" s="49"/>
    </row>
    <row r="103" spans="2:24" s="177" customFormat="1" ht="15" thickBot="1" x14ac:dyDescent="0.35">
      <c r="B103" s="195"/>
      <c r="C103" s="400"/>
      <c r="D103" s="195"/>
      <c r="E103" s="195"/>
      <c r="F103" s="195"/>
      <c r="G103" s="195"/>
      <c r="H103" s="195"/>
      <c r="I103" s="195"/>
      <c r="J103" s="195"/>
      <c r="K103" s="195"/>
      <c r="L103" s="401"/>
      <c r="M103" s="195"/>
      <c r="N103" s="195"/>
      <c r="O103" s="195"/>
      <c r="P103" s="49"/>
      <c r="Q103" s="49"/>
      <c r="R103" s="49"/>
      <c r="S103" s="49"/>
      <c r="T103" s="49"/>
      <c r="U103" s="49"/>
      <c r="V103" s="49"/>
      <c r="W103" s="49"/>
      <c r="X103" s="49"/>
    </row>
    <row r="104" spans="2:24" s="177" customFormat="1" ht="28.8" x14ac:dyDescent="0.3">
      <c r="B104" s="195"/>
      <c r="C104" s="400"/>
      <c r="D104" s="195"/>
      <c r="E104" s="195"/>
      <c r="F104" s="195"/>
      <c r="G104" s="216" t="s">
        <v>222</v>
      </c>
      <c r="H104" s="216" t="s">
        <v>223</v>
      </c>
      <c r="I104" s="216" t="s">
        <v>224</v>
      </c>
      <c r="J104" s="195"/>
      <c r="K104" s="195"/>
      <c r="L104" s="401"/>
      <c r="M104" s="195"/>
      <c r="N104" s="195"/>
      <c r="O104" s="195"/>
      <c r="P104" s="49"/>
      <c r="Q104" s="49"/>
      <c r="R104" s="49"/>
      <c r="S104" s="49"/>
      <c r="T104" s="49"/>
      <c r="U104" s="49"/>
      <c r="V104" s="49"/>
      <c r="W104" s="49"/>
      <c r="X104" s="49"/>
    </row>
    <row r="105" spans="2:24" s="177" customFormat="1" ht="14.4" x14ac:dyDescent="0.3">
      <c r="B105" s="195"/>
      <c r="C105" s="400"/>
      <c r="D105" s="195"/>
      <c r="E105" s="217" t="s">
        <v>239</v>
      </c>
      <c r="F105" s="49"/>
      <c r="G105" s="218">
        <f>J119+K123</f>
        <v>6715</v>
      </c>
      <c r="H105" s="218">
        <f>G105*7</f>
        <v>47005</v>
      </c>
      <c r="I105" s="218">
        <f>H105*52/12</f>
        <v>203688.33333333334</v>
      </c>
      <c r="J105" s="195"/>
      <c r="K105" s="411"/>
      <c r="L105" s="401"/>
      <c r="M105" s="195"/>
      <c r="N105" s="195"/>
      <c r="O105" s="195"/>
      <c r="P105" s="49"/>
      <c r="Q105" s="49"/>
      <c r="R105" s="49"/>
      <c r="S105" s="49"/>
      <c r="T105" s="49"/>
      <c r="U105" s="49"/>
      <c r="V105" s="49"/>
      <c r="W105" s="49"/>
      <c r="X105" s="49"/>
    </row>
    <row r="106" spans="2:24" s="177" customFormat="1" ht="14.4" x14ac:dyDescent="0.3">
      <c r="B106" s="195"/>
      <c r="C106" s="400"/>
      <c r="D106" s="195"/>
      <c r="E106" s="219" t="s">
        <v>225</v>
      </c>
      <c r="F106" s="49"/>
      <c r="G106" s="220" t="str">
        <f>VLOOKUP(G105,FabricMapping!$C$11:$F$21,4,1)</f>
        <v>F8</v>
      </c>
      <c r="H106" s="220" t="str">
        <f>VLOOKUP(H105,FabricMapping!$D$11:$F$21,3,1)</f>
        <v>F8</v>
      </c>
      <c r="I106" s="220" t="str">
        <f>VLOOKUP(I105,FabricMapping!$E$11:$F$21,2,1)</f>
        <v>F8</v>
      </c>
      <c r="J106" s="195"/>
      <c r="K106" s="195"/>
      <c r="L106" s="401"/>
      <c r="M106" s="195"/>
      <c r="N106" s="195"/>
      <c r="O106" s="195"/>
      <c r="P106" s="49"/>
      <c r="Q106" s="49"/>
      <c r="R106" s="49"/>
      <c r="S106" s="49"/>
      <c r="T106" s="49"/>
      <c r="U106" s="49"/>
      <c r="V106" s="49"/>
      <c r="W106" s="49"/>
      <c r="X106" s="49"/>
    </row>
    <row r="107" spans="2:24" s="177" customFormat="1" ht="14.4" x14ac:dyDescent="0.3">
      <c r="B107" s="195"/>
      <c r="C107" s="400"/>
      <c r="D107" s="195"/>
      <c r="E107" s="219" t="s">
        <v>226</v>
      </c>
      <c r="F107" s="49"/>
      <c r="G107" s="218">
        <f>VLOOKUP(G106,FabricMapping!$F$10:$J$21,3,0)</f>
        <v>11520</v>
      </c>
      <c r="H107" s="218">
        <f>VLOOKUP(H106,FabricMapping!$F$10:$J$21,4,0)</f>
        <v>80640</v>
      </c>
      <c r="I107" s="218">
        <f>VLOOKUP(I106,FabricMapping!$F$10:$J$21,5,0)</f>
        <v>349440</v>
      </c>
      <c r="J107" s="195"/>
      <c r="K107" s="195"/>
      <c r="L107" s="401"/>
      <c r="M107" s="195"/>
      <c r="N107" s="195"/>
      <c r="O107" s="195"/>
      <c r="P107" s="49"/>
      <c r="Q107" s="49"/>
      <c r="R107" s="49"/>
      <c r="S107" s="49"/>
      <c r="T107" s="49"/>
      <c r="U107" s="49"/>
      <c r="V107" s="49"/>
      <c r="W107" s="49"/>
      <c r="X107" s="49"/>
    </row>
    <row r="108" spans="2:24" s="177" customFormat="1" ht="18" hidden="1" x14ac:dyDescent="0.35">
      <c r="B108" s="221"/>
      <c r="C108" s="400"/>
      <c r="D108" s="195"/>
      <c r="E108" s="219" t="s">
        <v>227</v>
      </c>
      <c r="F108" s="49"/>
      <c r="G108" s="222">
        <f>G107*Cost_Setup!$F$7/60</f>
        <v>34.559999999999995</v>
      </c>
      <c r="H108" s="222">
        <f>H107*Cost_Setup!$F$7/60</f>
        <v>241.92</v>
      </c>
      <c r="I108" s="222">
        <f>I107*Cost_Setup!$F$7/60</f>
        <v>1048.32</v>
      </c>
      <c r="J108" s="195"/>
      <c r="K108" s="195"/>
      <c r="L108" s="401"/>
      <c r="M108" s="195"/>
      <c r="N108" s="195"/>
      <c r="O108" s="195"/>
      <c r="P108" s="49"/>
      <c r="Q108" s="49"/>
      <c r="R108" s="49"/>
      <c r="S108" s="49"/>
      <c r="T108" s="49"/>
      <c r="U108" s="49"/>
      <c r="V108" s="49"/>
      <c r="W108" s="49"/>
      <c r="X108" s="49"/>
    </row>
    <row r="109" spans="2:24" s="177" customFormat="1" ht="14.4" x14ac:dyDescent="0.3">
      <c r="B109" s="195"/>
      <c r="C109" s="400"/>
      <c r="D109" s="195"/>
      <c r="E109" s="219" t="s">
        <v>228</v>
      </c>
      <c r="F109" s="49"/>
      <c r="G109" s="223">
        <f>G105/G107</f>
        <v>0.58289930555555558</v>
      </c>
      <c r="H109" s="223">
        <f t="shared" ref="H109:I109" si="4">H105/H107</f>
        <v>0.58289930555555558</v>
      </c>
      <c r="I109" s="223">
        <f t="shared" si="4"/>
        <v>0.58289930555555558</v>
      </c>
      <c r="J109" s="195"/>
      <c r="K109" s="195"/>
      <c r="L109" s="401"/>
      <c r="M109" s="195"/>
      <c r="N109" s="195"/>
      <c r="O109" s="195"/>
      <c r="P109" s="49"/>
      <c r="Q109" s="49"/>
      <c r="R109" s="49"/>
      <c r="S109" s="49"/>
      <c r="T109" s="49"/>
      <c r="U109" s="49"/>
      <c r="V109" s="49"/>
      <c r="W109" s="49"/>
      <c r="X109" s="49"/>
    </row>
    <row r="110" spans="2:24" s="177" customFormat="1" ht="14.4" x14ac:dyDescent="0.3">
      <c r="B110" s="195"/>
      <c r="C110" s="400"/>
      <c r="D110" s="195"/>
      <c r="E110" s="195"/>
      <c r="F110" s="49"/>
      <c r="G110" s="195"/>
      <c r="H110" s="49"/>
      <c r="I110" s="195"/>
      <c r="J110" s="195"/>
      <c r="K110" s="195"/>
      <c r="L110" s="401"/>
      <c r="M110" s="195"/>
      <c r="N110" s="195"/>
      <c r="O110" s="49"/>
      <c r="P110" s="49"/>
      <c r="Q110" s="49"/>
      <c r="R110" s="49"/>
      <c r="S110" s="49"/>
      <c r="T110" s="49"/>
      <c r="U110" s="49"/>
      <c r="V110" s="49"/>
      <c r="W110" s="49"/>
      <c r="X110" s="49"/>
    </row>
    <row r="111" spans="2:24" s="177" customFormat="1" ht="15" thickBot="1" x14ac:dyDescent="0.35">
      <c r="B111" s="195"/>
      <c r="C111" s="400"/>
      <c r="D111" s="195"/>
      <c r="E111" s="195"/>
      <c r="F111" s="195"/>
      <c r="G111" s="195"/>
      <c r="H111" s="195"/>
      <c r="I111" s="195"/>
      <c r="J111" s="195"/>
      <c r="K111" s="195"/>
      <c r="L111" s="401"/>
      <c r="M111" s="195"/>
      <c r="N111" s="195"/>
      <c r="O111" s="49"/>
      <c r="P111" s="49"/>
      <c r="Q111" s="49"/>
      <c r="R111" s="49"/>
      <c r="S111" s="49"/>
      <c r="T111" s="49"/>
      <c r="U111" s="49"/>
      <c r="V111" s="49"/>
      <c r="W111" s="49"/>
      <c r="X111" s="49"/>
    </row>
    <row r="112" spans="2:24" s="177" customFormat="1" ht="14.4" x14ac:dyDescent="0.3">
      <c r="B112" s="195"/>
      <c r="C112" s="400"/>
      <c r="D112" s="195"/>
      <c r="E112" s="561" t="s">
        <v>11</v>
      </c>
      <c r="F112" s="195"/>
      <c r="G112" s="563" t="s">
        <v>240</v>
      </c>
      <c r="H112" s="564"/>
      <c r="I112" s="564"/>
      <c r="J112" s="564"/>
      <c r="K112" s="565"/>
      <c r="L112" s="401"/>
      <c r="M112" s="195"/>
      <c r="N112" s="49"/>
      <c r="O112" s="49"/>
      <c r="P112" s="49"/>
      <c r="Q112" s="49"/>
      <c r="R112" s="49"/>
      <c r="S112" s="49"/>
      <c r="T112" s="49"/>
      <c r="U112" s="49"/>
      <c r="V112" s="49"/>
      <c r="W112" s="49"/>
      <c r="X112" s="49"/>
    </row>
    <row r="113" spans="2:24" s="177" customFormat="1" ht="14.4" x14ac:dyDescent="0.3">
      <c r="B113" s="195"/>
      <c r="C113" s="400"/>
      <c r="D113" s="195"/>
      <c r="E113" s="561"/>
      <c r="F113" s="195"/>
      <c r="G113" s="230" t="s">
        <v>55</v>
      </c>
      <c r="H113" s="231" t="s">
        <v>241</v>
      </c>
      <c r="I113" s="231" t="s">
        <v>242</v>
      </c>
      <c r="J113" s="231" t="s">
        <v>243</v>
      </c>
      <c r="K113" s="232" t="s">
        <v>244</v>
      </c>
      <c r="L113" s="401"/>
      <c r="M113" s="195"/>
      <c r="N113" s="49"/>
      <c r="O113" s="195"/>
      <c r="P113" s="49"/>
      <c r="Q113" s="49"/>
      <c r="R113" s="49"/>
      <c r="S113" s="49"/>
      <c r="T113" s="49"/>
      <c r="U113" s="49"/>
      <c r="V113" s="49"/>
      <c r="W113" s="49"/>
      <c r="X113" s="49"/>
    </row>
    <row r="114" spans="2:24" s="177" customFormat="1" ht="15" thickBot="1" x14ac:dyDescent="0.35">
      <c r="B114" s="195"/>
      <c r="C114" s="400"/>
      <c r="D114" s="195"/>
      <c r="E114" s="561"/>
      <c r="F114" s="195"/>
      <c r="G114" s="233" t="s">
        <v>56</v>
      </c>
      <c r="H114" s="226">
        <f>IFERROR(VLOOKUP($G$114,FabricMapping!$F$39:$J$43,4,FALSE),0)</f>
        <v>4</v>
      </c>
      <c r="I114" s="226">
        <f>IFERROR(VLOOKUP($G$114,FabricMapping!$F$39:$J$43,5,FALSE),0)</f>
        <v>60</v>
      </c>
      <c r="J114" s="226">
        <f>IFERROR((FabricMapping!$U$31*2)/$H$114,0)</f>
        <v>32</v>
      </c>
      <c r="K114" s="227">
        <f>J114*H114</f>
        <v>128</v>
      </c>
      <c r="L114" s="401"/>
      <c r="M114" s="195"/>
      <c r="N114" s="228"/>
      <c r="O114" s="195"/>
      <c r="P114" s="49"/>
      <c r="Q114" s="49"/>
      <c r="R114" s="49"/>
      <c r="S114" s="49"/>
      <c r="T114" s="49"/>
      <c r="U114" s="49"/>
      <c r="V114" s="49"/>
      <c r="W114" s="49"/>
      <c r="X114" s="49"/>
    </row>
    <row r="115" spans="2:24" s="177" customFormat="1" ht="14.4" x14ac:dyDescent="0.3">
      <c r="B115" s="195"/>
      <c r="C115" s="400"/>
      <c r="D115" s="195"/>
      <c r="E115" s="561"/>
      <c r="F115" s="195"/>
      <c r="G115" s="195"/>
      <c r="H115" s="195"/>
      <c r="I115" s="195"/>
      <c r="J115" s="195"/>
      <c r="K115" s="195"/>
      <c r="L115" s="401"/>
      <c r="M115" s="195"/>
      <c r="N115" s="49"/>
      <c r="O115" s="195"/>
      <c r="P115" s="49"/>
      <c r="Q115" s="49"/>
      <c r="R115" s="49"/>
      <c r="S115" s="49"/>
      <c r="T115" s="49"/>
      <c r="U115" s="49"/>
      <c r="V115" s="49"/>
      <c r="W115" s="49"/>
      <c r="X115" s="49"/>
    </row>
    <row r="116" spans="2:24" s="177" customFormat="1" ht="15" thickBot="1" x14ac:dyDescent="0.35">
      <c r="B116" s="195"/>
      <c r="C116" s="400"/>
      <c r="D116" s="195"/>
      <c r="E116" s="561"/>
      <c r="F116" s="195"/>
      <c r="G116" s="195"/>
      <c r="H116" s="195"/>
      <c r="I116" s="195"/>
      <c r="J116" s="195"/>
      <c r="K116" s="195"/>
      <c r="L116" s="401"/>
      <c r="M116" s="195"/>
      <c r="N116" s="195"/>
      <c r="O116" s="195"/>
      <c r="P116" s="49"/>
      <c r="Q116" s="49"/>
      <c r="R116" s="49"/>
      <c r="S116" s="49"/>
      <c r="T116" s="49"/>
      <c r="U116" s="49"/>
      <c r="V116" s="49"/>
      <c r="W116" s="49"/>
      <c r="X116" s="49"/>
    </row>
    <row r="117" spans="2:24" s="177" customFormat="1" ht="14.4" x14ac:dyDescent="0.3">
      <c r="B117" s="195"/>
      <c r="C117" s="400"/>
      <c r="D117" s="195"/>
      <c r="E117" s="561"/>
      <c r="F117" s="195"/>
      <c r="G117" s="563" t="str">
        <f>"Silver Zone - Data Engineering ("&amp;$G$114&amp;" Spark Cluster)"</f>
        <v>Silver Zone - Data Engineering (Medium (8 vCore, 64 Mem) Spark Cluster)</v>
      </c>
      <c r="H117" s="564"/>
      <c r="I117" s="564"/>
      <c r="J117" s="564"/>
      <c r="K117" s="565"/>
      <c r="L117" s="401"/>
      <c r="M117" s="195"/>
      <c r="N117" s="195"/>
      <c r="O117" s="195"/>
      <c r="P117" s="49"/>
      <c r="Q117" s="49"/>
      <c r="R117" s="49"/>
      <c r="S117" s="49"/>
      <c r="T117" s="49"/>
      <c r="U117" s="49"/>
      <c r="V117" s="49"/>
      <c r="W117" s="49"/>
      <c r="X117" s="49"/>
    </row>
    <row r="118" spans="2:24" s="177" customFormat="1" ht="18.75" customHeight="1" x14ac:dyDescent="0.3">
      <c r="B118" s="195"/>
      <c r="C118" s="400"/>
      <c r="D118" s="195"/>
      <c r="E118" s="561"/>
      <c r="F118" s="195"/>
      <c r="G118" s="234" t="s">
        <v>245</v>
      </c>
      <c r="H118" s="235" t="s">
        <v>246</v>
      </c>
      <c r="I118" s="235" t="s">
        <v>247</v>
      </c>
      <c r="J118" s="235" t="s">
        <v>248</v>
      </c>
      <c r="K118" s="236" t="s">
        <v>249</v>
      </c>
      <c r="L118" s="401"/>
      <c r="M118" s="195"/>
      <c r="N118" s="195"/>
      <c r="O118" s="195"/>
      <c r="P118" s="49"/>
      <c r="Q118" s="49"/>
      <c r="R118" s="49"/>
      <c r="S118" s="49"/>
      <c r="T118" s="49"/>
      <c r="U118" s="49"/>
      <c r="V118" s="49"/>
      <c r="W118" s="49"/>
      <c r="X118" s="49"/>
    </row>
    <row r="119" spans="2:24" s="177" customFormat="1" ht="15" thickBot="1" x14ac:dyDescent="0.35">
      <c r="B119" s="195"/>
      <c r="C119" s="400"/>
      <c r="D119" s="195"/>
      <c r="E119" s="561"/>
      <c r="F119" s="195"/>
      <c r="G119" s="237">
        <f>$G$6</f>
        <v>1000</v>
      </c>
      <c r="H119" s="226">
        <f>IFERROR(IF(OR(RIGHT(G8)="%",ISNUMBER(G8)),ROUNDUP(($H$46*$G$8/$G$119)/$I$114,0)+1,ROUNDUP((_xlfn.NUMBERVALUE(LEFT($G$8,LEN(G8)-2))/$G$119)/$I$114,0)+1),0)</f>
        <v>2</v>
      </c>
      <c r="I119" s="238">
        <v>50</v>
      </c>
      <c r="J119" s="239">
        <f>ROUNDUP(((H119*$H$114))*(I119/60)*G119,0)*$G$5</f>
        <v>6667</v>
      </c>
      <c r="K119" s="227">
        <f>IFERROR(ROUNDUP(((G119*I119)/60)/ABS(($J$114/H119)-4),0)*$G$5,1)</f>
        <v>70</v>
      </c>
      <c r="L119" s="401"/>
      <c r="M119" s="195"/>
      <c r="N119" s="228"/>
      <c r="O119" s="195"/>
      <c r="P119" s="49"/>
      <c r="Q119" s="49"/>
      <c r="R119" s="49"/>
      <c r="S119" s="49"/>
      <c r="T119" s="49"/>
      <c r="U119" s="49"/>
      <c r="V119" s="49"/>
      <c r="W119" s="49"/>
      <c r="X119" s="49"/>
    </row>
    <row r="120" spans="2:24" s="177" customFormat="1" ht="15.6" x14ac:dyDescent="0.3">
      <c r="B120" s="195"/>
      <c r="C120" s="400"/>
      <c r="D120" s="195"/>
      <c r="E120" s="561"/>
      <c r="F120" s="195"/>
      <c r="G120" s="240" t="s">
        <v>250</v>
      </c>
      <c r="H120" s="195"/>
      <c r="I120" s="195"/>
      <c r="J120" s="195"/>
      <c r="K120" s="195"/>
      <c r="L120" s="401"/>
      <c r="M120" s="195"/>
      <c r="N120" s="49"/>
      <c r="O120" s="195"/>
      <c r="P120" s="49"/>
      <c r="Q120" s="49"/>
      <c r="R120" s="49"/>
      <c r="S120" s="49"/>
      <c r="T120" s="49"/>
      <c r="U120" s="49"/>
      <c r="V120" s="49"/>
      <c r="W120" s="49"/>
      <c r="X120" s="49"/>
    </row>
    <row r="121" spans="2:24" s="177" customFormat="1" ht="15.6" x14ac:dyDescent="0.3">
      <c r="B121" s="195"/>
      <c r="C121" s="400"/>
      <c r="D121" s="195"/>
      <c r="E121" s="472"/>
      <c r="F121" s="195"/>
      <c r="G121" s="240"/>
      <c r="H121" s="195"/>
      <c r="I121" s="195"/>
      <c r="J121" s="195"/>
      <c r="K121" s="195"/>
      <c r="L121" s="401"/>
      <c r="M121" s="195"/>
      <c r="N121" s="49"/>
      <c r="O121" s="195"/>
      <c r="P121" s="49"/>
      <c r="Q121" s="49"/>
      <c r="R121" s="49"/>
      <c r="S121" s="49"/>
      <c r="T121" s="49"/>
      <c r="U121" s="49"/>
      <c r="V121" s="49"/>
      <c r="W121" s="49"/>
      <c r="X121" s="49"/>
    </row>
    <row r="122" spans="2:24" s="177" customFormat="1" ht="14.4" x14ac:dyDescent="0.3">
      <c r="B122" s="195"/>
      <c r="C122" s="400"/>
      <c r="D122" s="195"/>
      <c r="E122" s="472"/>
      <c r="F122" s="195"/>
      <c r="G122" s="481" t="s">
        <v>205</v>
      </c>
      <c r="H122" s="482" t="s">
        <v>236</v>
      </c>
      <c r="I122" s="482" t="s">
        <v>237</v>
      </c>
      <c r="J122" s="482" t="s">
        <v>238</v>
      </c>
      <c r="K122" s="483" t="s">
        <v>209</v>
      </c>
      <c r="L122" s="401"/>
      <c r="M122" s="195"/>
      <c r="N122" s="49"/>
      <c r="O122" s="195"/>
      <c r="P122" s="49"/>
      <c r="Q122" s="49"/>
      <c r="R122" s="49"/>
      <c r="S122" s="49"/>
      <c r="T122" s="49"/>
      <c r="U122" s="49"/>
      <c r="V122" s="49"/>
      <c r="W122" s="49"/>
      <c r="X122" s="49"/>
    </row>
    <row r="123" spans="2:24" s="177" customFormat="1" ht="14.4" x14ac:dyDescent="0.3">
      <c r="B123" s="195"/>
      <c r="C123" s="400"/>
      <c r="D123" s="195"/>
      <c r="E123" s="472"/>
      <c r="F123" s="195"/>
      <c r="G123" s="484">
        <f>ROUNDUP((((((LEFT($G$8,LEN($G$8)-2)*1024)/$G$6))/4)*$G$6*$G$5)*FabricMapping!$AR$61,0)</f>
        <v>2</v>
      </c>
      <c r="H123" s="485">
        <f>ROUNDUP((((((LEFT($G$8,LEN($G$8)-2)*1024)/$G$6))/4)*$G$6*$G$5)*FabricMapping!$AR$62,0)</f>
        <v>21</v>
      </c>
      <c r="I123" s="485">
        <f>ROUNDUP(($G$6*$G$5)*FabricMapping!$AR$63,0)</f>
        <v>3</v>
      </c>
      <c r="J123" s="485">
        <f>ROUNDUP(($G$6*$G$5)*FabricMapping!$AR$64,0)</f>
        <v>22</v>
      </c>
      <c r="K123" s="486">
        <f>SUM(G123:J123)</f>
        <v>48</v>
      </c>
      <c r="L123" s="401"/>
      <c r="M123" s="195"/>
      <c r="N123" s="49"/>
      <c r="O123" s="195"/>
      <c r="P123" s="49"/>
      <c r="Q123" s="49"/>
      <c r="R123" s="49"/>
      <c r="S123" s="49"/>
      <c r="T123" s="49"/>
      <c r="U123" s="49"/>
      <c r="V123" s="49"/>
      <c r="W123" s="49"/>
      <c r="X123" s="49"/>
    </row>
    <row r="124" spans="2:24" s="177" customFormat="1" ht="14.4" x14ac:dyDescent="0.3">
      <c r="B124" s="195"/>
      <c r="C124" s="400"/>
      <c r="D124" s="195"/>
      <c r="E124" s="195"/>
      <c r="F124" s="195"/>
      <c r="G124" s="195"/>
      <c r="H124" s="195"/>
      <c r="I124" s="195"/>
      <c r="J124" s="195"/>
      <c r="K124" s="195"/>
      <c r="L124" s="401"/>
      <c r="M124" s="195"/>
      <c r="N124" s="195"/>
      <c r="O124" s="195"/>
      <c r="P124" s="49"/>
      <c r="Q124" s="49"/>
      <c r="R124" s="49"/>
      <c r="S124" s="49"/>
      <c r="T124" s="49"/>
      <c r="U124" s="49"/>
      <c r="V124" s="49"/>
      <c r="W124" s="49"/>
      <c r="X124" s="49"/>
    </row>
    <row r="125" spans="2:24" s="177" customFormat="1" ht="15" thickBot="1" x14ac:dyDescent="0.35">
      <c r="B125" s="195"/>
      <c r="C125" s="409"/>
      <c r="D125" s="408"/>
      <c r="E125" s="408"/>
      <c r="F125" s="408"/>
      <c r="G125" s="408"/>
      <c r="H125" s="408"/>
      <c r="I125" s="408"/>
      <c r="J125" s="408"/>
      <c r="K125" s="408"/>
      <c r="L125" s="410"/>
      <c r="M125" s="195"/>
      <c r="N125" s="195"/>
      <c r="O125" s="195"/>
      <c r="P125" s="49"/>
      <c r="Q125" s="49"/>
      <c r="R125" s="49"/>
      <c r="S125" s="49"/>
      <c r="T125" s="49"/>
      <c r="U125" s="49"/>
      <c r="V125" s="49"/>
      <c r="W125" s="49"/>
      <c r="X125" s="49"/>
    </row>
    <row r="126" spans="2:24" s="177" customFormat="1" ht="14.4" x14ac:dyDescent="0.3">
      <c r="B126" s="195"/>
      <c r="C126" s="195"/>
      <c r="D126" s="195"/>
      <c r="E126" s="195"/>
      <c r="F126" s="195"/>
      <c r="G126" s="195"/>
      <c r="H126" s="195"/>
      <c r="I126" s="195"/>
      <c r="J126" s="195"/>
      <c r="K126" s="195"/>
      <c r="L126" s="195"/>
      <c r="M126" s="195"/>
      <c r="N126" s="195"/>
      <c r="O126" s="195"/>
      <c r="P126" s="49"/>
      <c r="Q126" s="49"/>
      <c r="R126" s="49"/>
      <c r="S126" s="49"/>
      <c r="T126" s="49"/>
      <c r="U126" s="49"/>
      <c r="V126" s="49"/>
      <c r="W126" s="49"/>
      <c r="X126" s="49"/>
    </row>
    <row r="127" spans="2:24" s="177" customFormat="1" ht="14.4" x14ac:dyDescent="0.3">
      <c r="B127" s="49"/>
      <c r="C127" s="49"/>
      <c r="D127" s="49"/>
      <c r="E127" s="49"/>
      <c r="F127" s="49"/>
      <c r="G127" s="49"/>
      <c r="H127" s="49"/>
      <c r="I127" s="49"/>
      <c r="J127" s="49"/>
      <c r="K127" s="49"/>
      <c r="L127" s="49"/>
      <c r="M127" s="49"/>
      <c r="N127" s="49"/>
      <c r="O127" s="195"/>
      <c r="P127" s="49"/>
      <c r="Q127" s="49"/>
      <c r="R127" s="49"/>
      <c r="S127" s="49"/>
      <c r="T127" s="49"/>
      <c r="U127" s="49"/>
      <c r="V127" s="49"/>
      <c r="W127" s="49"/>
      <c r="X127" s="49"/>
    </row>
    <row r="128" spans="2:24" s="177" customFormat="1" ht="14.4" x14ac:dyDescent="0.3">
      <c r="B128" s="49"/>
      <c r="C128" s="49"/>
      <c r="D128" s="49"/>
      <c r="E128" s="49"/>
      <c r="F128" s="49"/>
      <c r="G128" s="49"/>
      <c r="H128" s="49"/>
      <c r="I128" s="49"/>
      <c r="J128" s="49"/>
      <c r="K128" s="49"/>
      <c r="L128" s="49"/>
      <c r="M128" s="49"/>
      <c r="N128" s="49"/>
      <c r="O128" s="195"/>
      <c r="P128" s="49"/>
      <c r="Q128" s="49"/>
      <c r="R128" s="49"/>
      <c r="S128" s="49"/>
      <c r="T128" s="49"/>
      <c r="U128" s="49"/>
      <c r="V128" s="49"/>
      <c r="W128" s="49"/>
      <c r="X128" s="49"/>
    </row>
    <row r="129" spans="2:24" s="177" customFormat="1" ht="15" thickBot="1" x14ac:dyDescent="0.35">
      <c r="B129" s="49"/>
      <c r="C129" s="49"/>
      <c r="D129" s="49"/>
      <c r="E129" s="49"/>
      <c r="F129" s="49"/>
      <c r="G129" s="49"/>
      <c r="H129" s="49"/>
      <c r="I129" s="49"/>
      <c r="J129" s="49"/>
      <c r="K129" s="49"/>
      <c r="L129" s="49"/>
      <c r="M129" s="49"/>
      <c r="N129" s="49"/>
      <c r="O129" s="195"/>
      <c r="P129" s="49"/>
      <c r="Q129" s="49"/>
      <c r="R129" s="49"/>
      <c r="S129" s="49"/>
      <c r="T129" s="49"/>
      <c r="U129" s="49"/>
      <c r="V129" s="49"/>
      <c r="W129" s="49"/>
      <c r="X129" s="49"/>
    </row>
    <row r="130" spans="2:24" s="177" customFormat="1" ht="23.4" x14ac:dyDescent="0.45">
      <c r="B130" s="195"/>
      <c r="C130" s="188" t="s">
        <v>251</v>
      </c>
      <c r="D130" s="398"/>
      <c r="E130" s="398"/>
      <c r="F130" s="398"/>
      <c r="G130" s="398"/>
      <c r="H130" s="398"/>
      <c r="I130" s="398"/>
      <c r="J130" s="398"/>
      <c r="K130" s="398"/>
      <c r="L130" s="399"/>
      <c r="M130" s="195"/>
      <c r="N130" s="195"/>
      <c r="O130" s="195"/>
      <c r="P130" s="49"/>
      <c r="Q130" s="49"/>
      <c r="R130" s="49"/>
      <c r="S130" s="49"/>
      <c r="T130" s="49"/>
      <c r="U130" s="49"/>
      <c r="V130" s="49"/>
      <c r="W130" s="49"/>
      <c r="X130" s="49"/>
    </row>
    <row r="131" spans="2:24" s="177" customFormat="1" ht="14.4" x14ac:dyDescent="0.3">
      <c r="B131" s="195"/>
      <c r="C131" s="400"/>
      <c r="D131" s="195"/>
      <c r="E131" s="195"/>
      <c r="F131" s="195"/>
      <c r="G131" s="195"/>
      <c r="H131" s="195"/>
      <c r="I131" s="195"/>
      <c r="J131" s="195"/>
      <c r="K131" s="195"/>
      <c r="L131" s="401"/>
      <c r="M131" s="195"/>
      <c r="N131" s="195"/>
      <c r="O131" s="195"/>
      <c r="P131" s="49"/>
      <c r="Q131" s="49"/>
      <c r="R131" s="49"/>
      <c r="S131" s="49"/>
      <c r="T131" s="49"/>
      <c r="U131" s="49"/>
      <c r="V131" s="49"/>
      <c r="W131" s="49"/>
      <c r="X131" s="49"/>
    </row>
    <row r="132" spans="2:24" s="177" customFormat="1" ht="15" thickBot="1" x14ac:dyDescent="0.35">
      <c r="B132" s="195"/>
      <c r="C132" s="400"/>
      <c r="D132" s="195"/>
      <c r="E132" s="195"/>
      <c r="F132" s="195"/>
      <c r="G132" s="195"/>
      <c r="H132" s="195"/>
      <c r="I132" s="195"/>
      <c r="J132" s="195"/>
      <c r="K132" s="195"/>
      <c r="L132" s="401"/>
      <c r="M132" s="195"/>
      <c r="N132" s="195"/>
      <c r="O132" s="195"/>
      <c r="P132" s="49"/>
      <c r="Q132" s="49"/>
      <c r="R132" s="49"/>
      <c r="S132" s="49"/>
      <c r="T132" s="49"/>
      <c r="U132" s="49"/>
      <c r="V132" s="49"/>
      <c r="W132" s="49"/>
      <c r="X132" s="49"/>
    </row>
    <row r="133" spans="2:24" s="177" customFormat="1" ht="28.8" x14ac:dyDescent="0.3">
      <c r="B133" s="195"/>
      <c r="C133" s="400"/>
      <c r="D133" s="195"/>
      <c r="E133" s="195"/>
      <c r="F133" s="195"/>
      <c r="G133" s="216" t="s">
        <v>222</v>
      </c>
      <c r="H133" s="216" t="s">
        <v>223</v>
      </c>
      <c r="I133" s="216" t="s">
        <v>224</v>
      </c>
      <c r="J133" s="195"/>
      <c r="K133" s="195"/>
      <c r="L133" s="401"/>
      <c r="M133" s="195"/>
      <c r="N133" s="195"/>
      <c r="O133" s="195"/>
      <c r="P133" s="49"/>
      <c r="Q133" s="49"/>
      <c r="R133" s="49"/>
      <c r="S133" s="49"/>
      <c r="T133" s="49"/>
      <c r="U133" s="49"/>
      <c r="V133" s="49"/>
      <c r="W133" s="49"/>
      <c r="X133" s="49"/>
    </row>
    <row r="134" spans="2:24" s="177" customFormat="1" ht="14.4" x14ac:dyDescent="0.3">
      <c r="B134" s="195"/>
      <c r="C134" s="400"/>
      <c r="D134" s="195"/>
      <c r="E134" s="217" t="s">
        <v>251</v>
      </c>
      <c r="F134" s="49"/>
      <c r="G134" s="218">
        <f>J146+K153</f>
        <v>7290</v>
      </c>
      <c r="H134" s="218">
        <f>G134*7</f>
        <v>51030</v>
      </c>
      <c r="I134" s="218">
        <f>H134*52/12</f>
        <v>221130</v>
      </c>
      <c r="J134" s="195"/>
      <c r="K134" s="195"/>
      <c r="L134" s="401"/>
      <c r="M134" s="195"/>
      <c r="N134" s="195"/>
      <c r="O134" s="195"/>
      <c r="P134" s="49"/>
      <c r="Q134" s="49"/>
      <c r="R134" s="49"/>
      <c r="S134" s="49"/>
      <c r="T134" s="49"/>
      <c r="U134" s="49"/>
      <c r="V134" s="49"/>
      <c r="W134" s="49"/>
      <c r="X134" s="49"/>
    </row>
    <row r="135" spans="2:24" s="177" customFormat="1" ht="14.4" x14ac:dyDescent="0.3">
      <c r="B135" s="195"/>
      <c r="C135" s="400"/>
      <c r="D135" s="195"/>
      <c r="E135" s="219" t="s">
        <v>225</v>
      </c>
      <c r="F135" s="49"/>
      <c r="G135" s="220" t="str">
        <f>VLOOKUP(G134,FabricMapping!$C$11:$F$21,4,1)</f>
        <v>F8</v>
      </c>
      <c r="H135" s="220" t="str">
        <f>VLOOKUP(H134,FabricMapping!$D$11:$F$21,3,1)</f>
        <v>F8</v>
      </c>
      <c r="I135" s="220" t="str">
        <f>VLOOKUP(I134,FabricMapping!$E$11:$F$21,2,1)</f>
        <v>F8</v>
      </c>
      <c r="J135" s="195"/>
      <c r="K135" s="195"/>
      <c r="L135" s="401"/>
      <c r="M135" s="195"/>
      <c r="N135" s="195"/>
      <c r="O135" s="195"/>
      <c r="P135" s="49"/>
      <c r="Q135" s="49"/>
      <c r="R135" s="49"/>
      <c r="S135" s="49"/>
      <c r="T135" s="49"/>
      <c r="U135" s="49"/>
      <c r="V135" s="49"/>
      <c r="W135" s="49"/>
      <c r="X135" s="49"/>
    </row>
    <row r="136" spans="2:24" s="177" customFormat="1" ht="14.4" x14ac:dyDescent="0.3">
      <c r="B136" s="195"/>
      <c r="C136" s="400"/>
      <c r="D136" s="195"/>
      <c r="E136" s="219" t="s">
        <v>226</v>
      </c>
      <c r="F136" s="49"/>
      <c r="G136" s="218">
        <f>VLOOKUP(G135,FabricMapping!$F$10:$J$21,3,0)</f>
        <v>11520</v>
      </c>
      <c r="H136" s="218">
        <f>VLOOKUP(H135,FabricMapping!$F$10:$J$21,4,0)</f>
        <v>80640</v>
      </c>
      <c r="I136" s="218">
        <f>VLOOKUP(I135,FabricMapping!$F$10:$J$21,5,0)</f>
        <v>349440</v>
      </c>
      <c r="J136" s="195"/>
      <c r="K136" s="195"/>
      <c r="L136" s="401"/>
      <c r="M136" s="195"/>
      <c r="N136" s="195"/>
      <c r="O136" s="195"/>
      <c r="P136" s="49"/>
      <c r="Q136" s="49"/>
      <c r="R136" s="49"/>
      <c r="S136" s="49"/>
      <c r="T136" s="49"/>
      <c r="U136" s="49"/>
      <c r="V136" s="49"/>
      <c r="W136" s="49"/>
      <c r="X136" s="49"/>
    </row>
    <row r="137" spans="2:24" s="177" customFormat="1" ht="18" hidden="1" x14ac:dyDescent="0.35">
      <c r="B137" s="221"/>
      <c r="C137" s="400"/>
      <c r="D137" s="195"/>
      <c r="E137" s="219" t="s">
        <v>227</v>
      </c>
      <c r="F137" s="49"/>
      <c r="G137" s="222">
        <f>G136*Cost_Setup!$F$7/60</f>
        <v>34.559999999999995</v>
      </c>
      <c r="H137" s="222">
        <f>H136*Cost_Setup!$F$7/60</f>
        <v>241.92</v>
      </c>
      <c r="I137" s="222">
        <f>I136*Cost_Setup!$F$7/60</f>
        <v>1048.32</v>
      </c>
      <c r="J137" s="195"/>
      <c r="K137" s="195"/>
      <c r="L137" s="401"/>
      <c r="M137" s="195"/>
      <c r="N137" s="195"/>
      <c r="O137" s="195"/>
      <c r="P137" s="49"/>
      <c r="Q137" s="49"/>
      <c r="R137" s="49"/>
      <c r="S137" s="49"/>
      <c r="T137" s="49"/>
      <c r="U137" s="49"/>
      <c r="V137" s="49"/>
      <c r="W137" s="49"/>
      <c r="X137" s="49"/>
    </row>
    <row r="138" spans="2:24" s="177" customFormat="1" ht="14.4" x14ac:dyDescent="0.3">
      <c r="B138" s="195"/>
      <c r="C138" s="400"/>
      <c r="D138" s="195"/>
      <c r="E138" s="219" t="s">
        <v>228</v>
      </c>
      <c r="F138" s="49"/>
      <c r="G138" s="223">
        <f>G134/G136</f>
        <v>0.6328125</v>
      </c>
      <c r="H138" s="223">
        <f t="shared" ref="H138:I138" si="5">H134/H136</f>
        <v>0.6328125</v>
      </c>
      <c r="I138" s="223">
        <f t="shared" si="5"/>
        <v>0.6328125</v>
      </c>
      <c r="J138" s="195"/>
      <c r="K138" s="195"/>
      <c r="L138" s="401"/>
      <c r="M138" s="195"/>
      <c r="N138" s="195"/>
      <c r="O138" s="195"/>
      <c r="P138" s="49"/>
      <c r="Q138" s="49"/>
      <c r="R138" s="49"/>
      <c r="S138" s="49"/>
      <c r="T138" s="49"/>
      <c r="U138" s="49"/>
      <c r="V138" s="49"/>
      <c r="W138" s="49"/>
      <c r="X138" s="49"/>
    </row>
    <row r="139" spans="2:24" s="177" customFormat="1" ht="14.4" x14ac:dyDescent="0.3">
      <c r="B139" s="195"/>
      <c r="C139" s="400"/>
      <c r="D139" s="195"/>
      <c r="E139" s="195"/>
      <c r="F139" s="195"/>
      <c r="G139" s="195"/>
      <c r="H139" s="195"/>
      <c r="I139" s="195"/>
      <c r="J139" s="195"/>
      <c r="K139" s="195"/>
      <c r="L139" s="401"/>
      <c r="M139" s="195"/>
      <c r="N139" s="195"/>
      <c r="O139" s="195"/>
      <c r="P139" s="49"/>
      <c r="Q139" s="49"/>
      <c r="R139" s="49"/>
      <c r="S139" s="49"/>
      <c r="T139" s="49"/>
      <c r="U139" s="49"/>
      <c r="V139" s="49"/>
      <c r="W139" s="49"/>
      <c r="X139" s="49"/>
    </row>
    <row r="140" spans="2:24" s="177" customFormat="1" ht="14.4" x14ac:dyDescent="0.3">
      <c r="B140" s="195"/>
      <c r="C140" s="400"/>
      <c r="D140" s="195"/>
      <c r="E140" s="195"/>
      <c r="F140" s="195"/>
      <c r="G140" s="195"/>
      <c r="H140" s="195"/>
      <c r="I140" s="195"/>
      <c r="J140" s="195"/>
      <c r="K140" s="195"/>
      <c r="L140" s="401"/>
      <c r="M140" s="195"/>
      <c r="N140" s="195"/>
      <c r="O140" s="195"/>
      <c r="P140" s="49"/>
      <c r="Q140" s="49"/>
      <c r="R140" s="49"/>
      <c r="S140" s="49"/>
      <c r="T140" s="49"/>
      <c r="U140" s="49"/>
      <c r="V140" s="49"/>
      <c r="W140" s="49"/>
      <c r="X140" s="49"/>
    </row>
    <row r="141" spans="2:24" s="177" customFormat="1" ht="15" thickBot="1" x14ac:dyDescent="0.35">
      <c r="B141" s="195"/>
      <c r="C141" s="400"/>
      <c r="D141" s="195"/>
      <c r="E141" s="195"/>
      <c r="F141" s="195"/>
      <c r="G141" s="195"/>
      <c r="H141" s="195"/>
      <c r="I141" s="195"/>
      <c r="J141" s="195"/>
      <c r="K141" s="195"/>
      <c r="L141" s="401"/>
      <c r="M141" s="195"/>
      <c r="N141" s="195"/>
      <c r="O141" s="195"/>
      <c r="P141" s="49"/>
      <c r="Q141" s="49"/>
      <c r="R141" s="49"/>
      <c r="S141" s="49"/>
      <c r="T141" s="49"/>
      <c r="U141" s="49"/>
      <c r="V141" s="49"/>
      <c r="W141" s="49"/>
      <c r="X141" s="49"/>
    </row>
    <row r="142" spans="2:24" s="177" customFormat="1" ht="15" thickBot="1" x14ac:dyDescent="0.35">
      <c r="B142" s="195"/>
      <c r="C142" s="400"/>
      <c r="D142" s="195"/>
      <c r="E142" s="562" t="s">
        <v>252</v>
      </c>
      <c r="F142" s="195"/>
      <c r="G142" s="590" t="s">
        <v>253</v>
      </c>
      <c r="H142" s="591"/>
      <c r="I142" s="591"/>
      <c r="J142" s="591"/>
      <c r="K142" s="592"/>
      <c r="L142" s="401"/>
      <c r="M142" s="195"/>
      <c r="N142" s="195"/>
      <c r="O142" s="195"/>
      <c r="P142" s="49"/>
      <c r="Q142" s="49"/>
      <c r="R142" s="49"/>
      <c r="S142" s="49"/>
      <c r="T142" s="49"/>
      <c r="U142" s="49"/>
      <c r="V142" s="49"/>
      <c r="W142" s="49"/>
      <c r="X142" s="49"/>
    </row>
    <row r="143" spans="2:24" s="177" customFormat="1" ht="15" thickBot="1" x14ac:dyDescent="0.35">
      <c r="B143" s="195"/>
      <c r="C143" s="400"/>
      <c r="D143" s="195"/>
      <c r="E143" s="562"/>
      <c r="F143" s="195"/>
      <c r="G143" s="241" t="s">
        <v>254</v>
      </c>
      <c r="H143" s="242">
        <f>MAX(12,ROUNDUP($G$6/8,0))</f>
        <v>125</v>
      </c>
      <c r="I143" s="243"/>
      <c r="J143" s="243"/>
      <c r="K143" s="244"/>
      <c r="L143" s="401"/>
      <c r="M143" s="195"/>
      <c r="N143" s="228"/>
      <c r="O143" s="195"/>
      <c r="P143" s="49"/>
      <c r="Q143" s="49"/>
      <c r="R143" s="49"/>
      <c r="S143" s="49"/>
      <c r="T143" s="49"/>
      <c r="U143" s="49"/>
      <c r="V143" s="49"/>
      <c r="W143" s="49"/>
      <c r="X143" s="49"/>
    </row>
    <row r="144" spans="2:24" s="177" customFormat="1" ht="18.75" customHeight="1" x14ac:dyDescent="0.3">
      <c r="B144" s="195"/>
      <c r="C144" s="400"/>
      <c r="D144" s="195"/>
      <c r="E144" s="562"/>
      <c r="F144" s="195"/>
      <c r="G144" s="563" t="s">
        <v>255</v>
      </c>
      <c r="H144" s="564"/>
      <c r="I144" s="564"/>
      <c r="J144" s="564"/>
      <c r="K144" s="565"/>
      <c r="L144" s="401"/>
      <c r="M144" s="412"/>
      <c r="N144" s="195"/>
      <c r="O144" s="195"/>
      <c r="P144" s="49"/>
      <c r="Q144" s="49"/>
      <c r="R144" s="49"/>
      <c r="S144" s="49"/>
      <c r="T144" s="49"/>
      <c r="U144" s="49"/>
      <c r="V144" s="49"/>
      <c r="W144" s="49"/>
      <c r="X144" s="49"/>
    </row>
    <row r="145" spans="2:24" s="177" customFormat="1" ht="14.4" x14ac:dyDescent="0.3">
      <c r="B145" s="195"/>
      <c r="C145" s="400"/>
      <c r="D145" s="195"/>
      <c r="E145" s="562"/>
      <c r="F145" s="195"/>
      <c r="G145" s="413" t="s">
        <v>256</v>
      </c>
      <c r="H145" s="414" t="s">
        <v>257</v>
      </c>
      <c r="I145" s="414" t="s">
        <v>258</v>
      </c>
      <c r="J145" s="585" t="s">
        <v>248</v>
      </c>
      <c r="K145" s="586"/>
      <c r="L145" s="401"/>
      <c r="M145" s="412"/>
      <c r="N145" s="195"/>
      <c r="O145" s="195"/>
      <c r="P145" s="49"/>
      <c r="Q145" s="49"/>
      <c r="R145" s="49"/>
      <c r="S145" s="49"/>
      <c r="T145" s="49"/>
      <c r="U145" s="49"/>
      <c r="V145" s="49"/>
      <c r="W145" s="49"/>
      <c r="X145" s="49"/>
    </row>
    <row r="146" spans="2:24" s="177" customFormat="1" ht="15" thickBot="1" x14ac:dyDescent="0.35">
      <c r="B146" s="195"/>
      <c r="C146" s="400"/>
      <c r="D146" s="195"/>
      <c r="E146" s="562"/>
      <c r="F146" s="195"/>
      <c r="G146" s="415">
        <f>$G$5</f>
        <v>1</v>
      </c>
      <c r="H146" s="416">
        <f>K44</f>
        <v>0.3</v>
      </c>
      <c r="I146" s="406">
        <f>(K46/1000)*2.5</f>
        <v>13.5</v>
      </c>
      <c r="J146" s="581">
        <f>G146*(SUM(J148:K150))*FabricMapping!$F$74</f>
        <v>7263</v>
      </c>
      <c r="K146" s="582"/>
      <c r="L146" s="401"/>
      <c r="M146" s="412"/>
      <c r="N146" s="228"/>
      <c r="O146" s="195"/>
      <c r="P146" s="49"/>
      <c r="Q146" s="49"/>
      <c r="R146" s="49"/>
      <c r="S146" s="49"/>
      <c r="T146" s="49"/>
      <c r="U146" s="49"/>
      <c r="V146" s="49"/>
      <c r="W146" s="49"/>
      <c r="X146" s="49"/>
    </row>
    <row r="147" spans="2:24" s="177" customFormat="1" ht="14.4" x14ac:dyDescent="0.3">
      <c r="B147" s="195"/>
      <c r="C147" s="400"/>
      <c r="D147" s="195"/>
      <c r="E147" s="562"/>
      <c r="F147" s="195"/>
      <c r="G147" s="413" t="s">
        <v>259</v>
      </c>
      <c r="H147" s="417" t="s">
        <v>260</v>
      </c>
      <c r="I147" s="414" t="s">
        <v>261</v>
      </c>
      <c r="J147" s="593" t="s">
        <v>248</v>
      </c>
      <c r="K147" s="594"/>
      <c r="L147" s="401"/>
      <c r="M147" s="412"/>
      <c r="N147" s="195"/>
      <c r="O147" s="195"/>
      <c r="P147" s="49"/>
      <c r="Q147" s="49"/>
      <c r="R147" s="49"/>
      <c r="S147" s="49"/>
      <c r="T147" s="49"/>
      <c r="U147" s="49"/>
      <c r="V147" s="49"/>
      <c r="W147" s="49"/>
      <c r="X147" s="49"/>
    </row>
    <row r="148" spans="2:24" s="177" customFormat="1" ht="14.4" x14ac:dyDescent="0.3">
      <c r="B148" s="195"/>
      <c r="C148" s="400"/>
      <c r="D148" s="195"/>
      <c r="E148" s="562"/>
      <c r="F148" s="195"/>
      <c r="G148" s="418" t="s">
        <v>262</v>
      </c>
      <c r="H148" s="419">
        <f>ROUNDUP(VLOOKUP($G148,FabricMapping!$F$28:$I$31,3,FALSE)*ROUNDUP($H$143,0),0)+IF(UserInputs!$D$4="Data Lakehouse",0,$G$6)</f>
        <v>107</v>
      </c>
      <c r="I148" s="420">
        <f>($I$146/H148)</f>
        <v>0.12616822429906541</v>
      </c>
      <c r="J148" s="595">
        <f>ROUNDUP(H148*I148*VLOOKUP(G148,FabricMapping!$F$28:$N$31,6,FALSE)*FabricMapping!$AN$34,0)</f>
        <v>432</v>
      </c>
      <c r="K148" s="596"/>
      <c r="L148" s="401"/>
      <c r="M148" s="412"/>
      <c r="N148" s="228"/>
      <c r="O148" s="195"/>
      <c r="P148" s="49"/>
      <c r="Q148" s="49"/>
      <c r="R148" s="49"/>
      <c r="S148" s="49"/>
      <c r="T148" s="49"/>
      <c r="U148" s="49"/>
      <c r="V148" s="49"/>
      <c r="W148" s="49"/>
      <c r="X148" s="49"/>
    </row>
    <row r="149" spans="2:24" s="177" customFormat="1" ht="14.4" x14ac:dyDescent="0.3">
      <c r="B149" s="195"/>
      <c r="C149" s="400"/>
      <c r="D149" s="195"/>
      <c r="E149" s="562"/>
      <c r="F149" s="195"/>
      <c r="G149" s="418" t="s">
        <v>263</v>
      </c>
      <c r="H149" s="419">
        <f>ROUNDUP(VLOOKUP($G149,FabricMapping!$F$28:$I$31,3,FALSE)*ROUNDUP($H$143,0),0)</f>
        <v>13</v>
      </c>
      <c r="I149" s="421">
        <f t="shared" ref="I149" si="6">($I$146/H149)</f>
        <v>1.0384615384615385</v>
      </c>
      <c r="J149" s="595">
        <f>ROUNDUP(H149*I149*VLOOKUP(G149,FabricMapping!$F$28:$N$31,6,FALSE)*FabricMapping!$AN$34,0)</f>
        <v>1512</v>
      </c>
      <c r="K149" s="596"/>
      <c r="L149" s="401"/>
      <c r="M149" s="412"/>
      <c r="N149" s="228"/>
      <c r="O149" s="195"/>
      <c r="P149" s="49"/>
      <c r="Q149" s="49"/>
      <c r="R149" s="49"/>
      <c r="S149" s="49"/>
      <c r="T149" s="49"/>
      <c r="U149" s="49"/>
      <c r="V149" s="49"/>
      <c r="W149" s="49"/>
      <c r="X149" s="49"/>
    </row>
    <row r="150" spans="2:24" s="177" customFormat="1" ht="15" thickBot="1" x14ac:dyDescent="0.35">
      <c r="B150" s="195"/>
      <c r="C150" s="400"/>
      <c r="D150" s="195"/>
      <c r="E150" s="562"/>
      <c r="F150" s="195"/>
      <c r="G150" s="415" t="s">
        <v>264</v>
      </c>
      <c r="H150" s="422">
        <f>ROUNDUP(VLOOKUP($G150,FabricMapping!$F$28:$I$31,3,FALSE)*ROUNDUP($H$143,0),0)</f>
        <v>7</v>
      </c>
      <c r="I150" s="423">
        <f>($I$146/H150)+0.05</f>
        <v>1.9785714285714286</v>
      </c>
      <c r="J150" s="581">
        <f>ROUNDUP(H150*I150*VLOOKUP(G150,FabricMapping!$F$28:$N$31,6,FALSE)*FabricMapping!$AN$34,0)</f>
        <v>5319</v>
      </c>
      <c r="K150" s="582"/>
      <c r="L150" s="401"/>
      <c r="M150" s="412"/>
      <c r="N150" s="228"/>
      <c r="O150" s="195"/>
      <c r="P150" s="49"/>
      <c r="Q150" s="49"/>
      <c r="R150" s="49"/>
      <c r="S150" s="49"/>
      <c r="T150" s="49"/>
      <c r="U150" s="49"/>
      <c r="V150" s="49"/>
      <c r="W150" s="49"/>
      <c r="X150" s="49"/>
    </row>
    <row r="151" spans="2:24" s="177" customFormat="1" ht="14.4" x14ac:dyDescent="0.3">
      <c r="B151" s="195"/>
      <c r="C151" s="400"/>
      <c r="D151" s="195"/>
      <c r="E151" s="562"/>
      <c r="F151" s="195"/>
      <c r="G151" s="245" t="s">
        <v>265</v>
      </c>
      <c r="H151" s="195"/>
      <c r="I151" s="195"/>
      <c r="J151" s="195"/>
      <c r="K151" s="195"/>
      <c r="L151" s="401"/>
      <c r="M151" s="412"/>
      <c r="N151" s="195"/>
      <c r="O151" s="195"/>
      <c r="P151" s="49"/>
      <c r="Q151" s="49"/>
      <c r="R151" s="49"/>
      <c r="S151" s="49"/>
      <c r="T151" s="49"/>
      <c r="U151" s="49"/>
      <c r="V151" s="49"/>
      <c r="W151" s="49"/>
      <c r="X151" s="49"/>
    </row>
    <row r="152" spans="2:24" s="177" customFormat="1" ht="14.4" x14ac:dyDescent="0.3">
      <c r="B152" s="195"/>
      <c r="C152" s="400"/>
      <c r="D152" s="195"/>
      <c r="E152" s="562"/>
      <c r="F152" s="195"/>
      <c r="G152" s="481" t="s">
        <v>205</v>
      </c>
      <c r="H152" s="482" t="s">
        <v>236</v>
      </c>
      <c r="I152" s="482" t="s">
        <v>237</v>
      </c>
      <c r="J152" s="482" t="s">
        <v>238</v>
      </c>
      <c r="K152" s="483" t="s">
        <v>209</v>
      </c>
      <c r="L152" s="401"/>
      <c r="M152" s="412"/>
      <c r="N152" s="195"/>
      <c r="O152" s="195"/>
      <c r="P152" s="49"/>
      <c r="Q152" s="49"/>
      <c r="R152" s="49"/>
      <c r="S152" s="49"/>
      <c r="T152" s="49"/>
      <c r="U152" s="49"/>
      <c r="V152" s="49"/>
      <c r="W152" s="49"/>
      <c r="X152" s="49"/>
    </row>
    <row r="153" spans="2:24" s="177" customFormat="1" ht="14.4" x14ac:dyDescent="0.3">
      <c r="B153" s="195"/>
      <c r="C153" s="400"/>
      <c r="D153" s="195"/>
      <c r="E153" s="562"/>
      <c r="F153" s="195"/>
      <c r="G153" s="484">
        <f>ROUNDUP((((((LEFT($G$8,LEN($G$8)-2)*1024)/SUM($H$148:$H$150)))/4)*SUM($H$148:$H$150)*$G$5)*FabricMapping!$AR$61,0)</f>
        <v>2</v>
      </c>
      <c r="H153" s="485">
        <f>ROUNDUP((((((LEFT($G$8,LEN($G$8)-2)*1024)/SUM($H$148:$H$150)))/4)*SUM($H$148:$H$150)*$G$5)*FabricMapping!$AR$62,0)</f>
        <v>21</v>
      </c>
      <c r="I153" s="485">
        <f>ROUNDUP((SUM($H$148:$H$150)*$G$5)*FabricMapping!$AR$63,0)</f>
        <v>1</v>
      </c>
      <c r="J153" s="485">
        <f>ROUNDUP((SUM($H$148:$H$150)*$G$5)*FabricMapping!$AR$64,0)</f>
        <v>3</v>
      </c>
      <c r="K153" s="486">
        <f>SUM(G153:J153)</f>
        <v>27</v>
      </c>
      <c r="L153" s="401"/>
      <c r="M153" s="412"/>
      <c r="N153" s="195"/>
      <c r="O153" s="195"/>
      <c r="P153" s="49"/>
      <c r="Q153" s="49"/>
      <c r="R153" s="49"/>
      <c r="S153" s="49"/>
      <c r="T153" s="49"/>
      <c r="U153" s="49"/>
      <c r="V153" s="49"/>
      <c r="W153" s="49"/>
      <c r="X153" s="49"/>
    </row>
    <row r="154" spans="2:24" s="177" customFormat="1" ht="14.4" x14ac:dyDescent="0.3">
      <c r="B154" s="195"/>
      <c r="C154" s="400"/>
      <c r="D154" s="195"/>
      <c r="E154" s="195"/>
      <c r="F154" s="195"/>
      <c r="G154" s="195"/>
      <c r="H154" s="195"/>
      <c r="I154" s="195"/>
      <c r="J154" s="195"/>
      <c r="K154" s="195"/>
      <c r="L154" s="401"/>
      <c r="M154" s="412"/>
      <c r="N154" s="195"/>
      <c r="O154" s="195"/>
      <c r="P154" s="49"/>
      <c r="Q154" s="49"/>
      <c r="R154" s="49"/>
      <c r="S154" s="49"/>
      <c r="T154" s="49"/>
      <c r="U154" s="49"/>
      <c r="V154" s="49"/>
      <c r="W154" s="49"/>
      <c r="X154" s="49"/>
    </row>
    <row r="155" spans="2:24" s="177" customFormat="1" ht="15" thickBot="1" x14ac:dyDescent="0.35">
      <c r="B155" s="195"/>
      <c r="C155" s="409"/>
      <c r="D155" s="408"/>
      <c r="E155" s="408"/>
      <c r="F155" s="408"/>
      <c r="G155" s="408"/>
      <c r="H155" s="408"/>
      <c r="I155" s="408"/>
      <c r="J155" s="408"/>
      <c r="K155" s="408"/>
      <c r="L155" s="410"/>
      <c r="M155" s="195"/>
      <c r="N155" s="195"/>
      <c r="O155" s="195"/>
      <c r="P155" s="49"/>
      <c r="Q155" s="49"/>
      <c r="R155" s="49"/>
      <c r="S155" s="49"/>
      <c r="T155" s="49"/>
      <c r="U155" s="49"/>
      <c r="V155" s="49"/>
      <c r="W155" s="49"/>
      <c r="X155" s="49"/>
    </row>
    <row r="156" spans="2:24" s="177" customFormat="1" ht="14.4" x14ac:dyDescent="0.3">
      <c r="B156" s="49"/>
      <c r="C156" s="49"/>
      <c r="D156" s="49"/>
      <c r="E156" s="49"/>
      <c r="F156" s="49"/>
      <c r="G156" s="49"/>
      <c r="H156" s="49"/>
      <c r="I156" s="49"/>
      <c r="J156" s="49"/>
      <c r="K156" s="49"/>
      <c r="L156" s="49"/>
      <c r="M156" s="49"/>
      <c r="N156" s="195"/>
      <c r="O156" s="195"/>
      <c r="P156" s="49"/>
      <c r="Q156" s="49"/>
      <c r="R156" s="49"/>
      <c r="S156" s="49"/>
      <c r="T156" s="49"/>
      <c r="U156" s="49"/>
      <c r="V156" s="49"/>
      <c r="W156" s="49"/>
      <c r="X156" s="49"/>
    </row>
    <row r="157" spans="2:24" s="177" customFormat="1" ht="14.4" x14ac:dyDescent="0.3">
      <c r="B157" s="49"/>
      <c r="C157" s="49"/>
      <c r="D157" s="49"/>
      <c r="E157" s="49"/>
      <c r="F157" s="49"/>
      <c r="G157" s="49"/>
      <c r="H157" s="49"/>
      <c r="I157" s="49"/>
      <c r="J157" s="49"/>
      <c r="K157" s="49"/>
      <c r="L157" s="49"/>
      <c r="M157" s="49"/>
      <c r="N157" s="195"/>
      <c r="O157" s="195"/>
      <c r="P157" s="49"/>
      <c r="Q157" s="49"/>
      <c r="R157" s="49"/>
      <c r="S157" s="49"/>
      <c r="T157" s="49"/>
      <c r="U157" s="49"/>
      <c r="V157" s="49"/>
      <c r="W157" s="49"/>
      <c r="X157" s="49"/>
    </row>
    <row r="158" spans="2:24" s="177" customFormat="1" ht="14.4" x14ac:dyDescent="0.3">
      <c r="B158" s="49"/>
      <c r="C158" s="49"/>
      <c r="D158" s="49"/>
      <c r="E158" s="49"/>
      <c r="F158" s="49"/>
      <c r="G158" s="49"/>
      <c r="H158" s="49"/>
      <c r="I158" s="49"/>
      <c r="J158" s="49"/>
      <c r="K158" s="49"/>
      <c r="L158" s="49"/>
      <c r="M158" s="49"/>
      <c r="N158" s="195"/>
      <c r="O158" s="195"/>
      <c r="P158" s="49"/>
      <c r="Q158" s="49"/>
      <c r="R158" s="49"/>
      <c r="S158" s="49"/>
      <c r="T158" s="49"/>
      <c r="U158" s="49"/>
      <c r="V158" s="49"/>
      <c r="W158" s="49"/>
      <c r="X158" s="49"/>
    </row>
    <row r="159" spans="2:24" s="177" customFormat="1" ht="14.4" x14ac:dyDescent="0.3">
      <c r="B159" s="49"/>
      <c r="C159" s="49"/>
      <c r="D159" s="49"/>
      <c r="E159" s="49"/>
      <c r="F159" s="49"/>
      <c r="G159" s="49"/>
      <c r="H159" s="49"/>
      <c r="I159" s="49"/>
      <c r="J159" s="49"/>
      <c r="K159" s="49"/>
      <c r="L159" s="49"/>
      <c r="M159" s="49"/>
      <c r="N159" s="195"/>
      <c r="O159" s="195"/>
      <c r="P159" s="49"/>
      <c r="Q159" s="49"/>
      <c r="R159" s="49"/>
      <c r="S159" s="49"/>
      <c r="T159" s="49"/>
      <c r="U159" s="49"/>
      <c r="V159" s="49"/>
      <c r="W159" s="49"/>
      <c r="X159" s="49"/>
    </row>
    <row r="160" spans="2:24" s="177" customFormat="1" ht="15" thickBot="1" x14ac:dyDescent="0.35">
      <c r="B160" s="49"/>
      <c r="C160" s="49"/>
      <c r="D160" s="49"/>
      <c r="E160" s="49"/>
      <c r="F160" s="49"/>
      <c r="G160" s="49"/>
      <c r="H160" s="49"/>
      <c r="I160" s="49"/>
      <c r="J160" s="49"/>
      <c r="K160" s="49"/>
      <c r="L160" s="49"/>
      <c r="M160" s="49"/>
      <c r="N160" s="195"/>
      <c r="O160" s="195"/>
      <c r="P160" s="49"/>
      <c r="Q160" s="49"/>
      <c r="R160" s="49"/>
      <c r="S160" s="49"/>
      <c r="T160" s="49"/>
      <c r="U160" s="49"/>
      <c r="V160" s="49"/>
      <c r="W160" s="49"/>
      <c r="X160" s="49"/>
    </row>
    <row r="161" spans="2:24" s="177" customFormat="1" ht="23.4" x14ac:dyDescent="0.45">
      <c r="B161" s="49"/>
      <c r="C161" s="188" t="s">
        <v>266</v>
      </c>
      <c r="D161" s="190"/>
      <c r="E161" s="190"/>
      <c r="F161" s="190"/>
      <c r="G161" s="190"/>
      <c r="H161" s="190"/>
      <c r="I161" s="190"/>
      <c r="J161" s="190"/>
      <c r="K161" s="190"/>
      <c r="L161" s="246"/>
      <c r="M161" s="49"/>
      <c r="N161" s="195"/>
      <c r="O161" s="195"/>
      <c r="P161" s="49"/>
      <c r="Q161" s="49"/>
      <c r="R161" s="49"/>
      <c r="S161" s="49"/>
      <c r="T161" s="49"/>
      <c r="U161" s="49"/>
      <c r="V161" s="49"/>
      <c r="W161" s="49"/>
      <c r="X161" s="49"/>
    </row>
    <row r="162" spans="2:24" s="177" customFormat="1" ht="14.4" x14ac:dyDescent="0.3">
      <c r="B162" s="49"/>
      <c r="C162" s="247"/>
      <c r="D162" s="49"/>
      <c r="E162" s="49"/>
      <c r="F162" s="49"/>
      <c r="G162" s="49"/>
      <c r="H162" s="49"/>
      <c r="I162" s="49"/>
      <c r="J162" s="49"/>
      <c r="K162" s="49"/>
      <c r="L162" s="248"/>
      <c r="M162" s="49"/>
      <c r="N162" s="195"/>
      <c r="O162" s="195"/>
      <c r="P162" s="49"/>
      <c r="Q162" s="49"/>
      <c r="R162" s="49"/>
      <c r="S162" s="49"/>
      <c r="T162" s="49"/>
      <c r="U162" s="49"/>
      <c r="V162" s="49"/>
      <c r="W162" s="49"/>
      <c r="X162" s="49"/>
    </row>
    <row r="163" spans="2:24" s="177" customFormat="1" ht="14.4" x14ac:dyDescent="0.3">
      <c r="B163" s="49"/>
      <c r="C163" s="247"/>
      <c r="D163" s="49"/>
      <c r="E163" s="49"/>
      <c r="F163" s="49"/>
      <c r="G163" s="49"/>
      <c r="H163" s="49"/>
      <c r="I163" s="49"/>
      <c r="J163" s="49"/>
      <c r="K163" s="49"/>
      <c r="L163" s="248"/>
      <c r="M163" s="49"/>
      <c r="N163" s="195"/>
      <c r="O163" s="195"/>
      <c r="P163" s="49"/>
      <c r="Q163" s="49"/>
      <c r="R163" s="49"/>
      <c r="S163" s="49"/>
      <c r="T163" s="49"/>
      <c r="U163" s="49"/>
      <c r="V163" s="49"/>
      <c r="W163" s="49"/>
      <c r="X163" s="49"/>
    </row>
    <row r="164" spans="2:24" s="177" customFormat="1" ht="15" thickBot="1" x14ac:dyDescent="0.35">
      <c r="B164" s="195"/>
      <c r="C164" s="400"/>
      <c r="D164" s="195"/>
      <c r="E164" s="195"/>
      <c r="F164" s="195"/>
      <c r="G164" s="195"/>
      <c r="H164" s="195"/>
      <c r="I164" s="195"/>
      <c r="J164" s="195"/>
      <c r="K164" s="195"/>
      <c r="L164" s="401"/>
      <c r="M164" s="195"/>
      <c r="N164" s="195"/>
      <c r="O164" s="195"/>
      <c r="P164" s="49"/>
      <c r="Q164" s="49"/>
      <c r="R164" s="49"/>
      <c r="S164" s="49"/>
      <c r="T164" s="49"/>
      <c r="U164" s="49"/>
      <c r="V164" s="49"/>
      <c r="W164" s="49"/>
      <c r="X164" s="49"/>
    </row>
    <row r="165" spans="2:24" s="177" customFormat="1" ht="28.8" x14ac:dyDescent="0.3">
      <c r="B165" s="195"/>
      <c r="C165" s="400"/>
      <c r="D165" s="195"/>
      <c r="E165" s="195"/>
      <c r="F165" s="195"/>
      <c r="G165" s="216" t="s">
        <v>222</v>
      </c>
      <c r="H165" s="216" t="s">
        <v>223</v>
      </c>
      <c r="I165" s="216" t="s">
        <v>224</v>
      </c>
      <c r="J165" s="195"/>
      <c r="K165" s="195"/>
      <c r="L165" s="401"/>
      <c r="M165" s="195"/>
      <c r="N165" s="195"/>
      <c r="O165" s="195"/>
      <c r="P165" s="49"/>
      <c r="Q165" s="49"/>
      <c r="R165" s="49"/>
      <c r="S165" s="49"/>
      <c r="T165" s="49"/>
      <c r="U165" s="49"/>
      <c r="V165" s="49"/>
      <c r="W165" s="49"/>
      <c r="X165" s="49"/>
    </row>
    <row r="166" spans="2:24" s="177" customFormat="1" ht="14.4" x14ac:dyDescent="0.3">
      <c r="B166" s="195"/>
      <c r="C166" s="400"/>
      <c r="D166" s="195"/>
      <c r="E166" s="217" t="s">
        <v>267</v>
      </c>
      <c r="F166" s="49"/>
      <c r="G166" s="218">
        <f>J182+K189</f>
        <v>1224</v>
      </c>
      <c r="H166" s="218">
        <f>G166*7</f>
        <v>8568</v>
      </c>
      <c r="I166" s="218">
        <f>H166*52/12</f>
        <v>37128</v>
      </c>
      <c r="J166" s="195"/>
      <c r="K166" s="195"/>
      <c r="L166" s="401"/>
      <c r="M166" s="195"/>
      <c r="N166" s="195"/>
      <c r="O166" s="195"/>
      <c r="P166" s="49"/>
      <c r="Q166" s="49"/>
      <c r="R166" s="49"/>
      <c r="S166" s="49"/>
      <c r="T166" s="49"/>
      <c r="U166" s="49"/>
      <c r="V166" s="49"/>
      <c r="W166" s="49"/>
      <c r="X166" s="49"/>
    </row>
    <row r="167" spans="2:24" s="177" customFormat="1" ht="14.4" x14ac:dyDescent="0.3">
      <c r="B167" s="195"/>
      <c r="C167" s="400"/>
      <c r="D167" s="195"/>
      <c r="E167" s="219" t="s">
        <v>225</v>
      </c>
      <c r="F167" s="49"/>
      <c r="G167" s="220" t="str">
        <f>VLOOKUP(G166,FabricMapping!$C$11:$F$21,4,1)</f>
        <v>F2</v>
      </c>
      <c r="H167" s="220" t="str">
        <f>VLOOKUP(H166,FabricMapping!$D$11:$F$21,3,1)</f>
        <v>F2</v>
      </c>
      <c r="I167" s="220" t="str">
        <f>VLOOKUP(I166,FabricMapping!$E$11:$F$21,2,1)</f>
        <v>F2</v>
      </c>
      <c r="J167" s="195"/>
      <c r="K167" s="195"/>
      <c r="L167" s="401"/>
      <c r="M167" s="195"/>
      <c r="N167" s="195"/>
      <c r="O167" s="195"/>
      <c r="P167" s="49"/>
      <c r="Q167" s="49"/>
      <c r="R167" s="49"/>
      <c r="S167" s="49"/>
      <c r="T167" s="49"/>
      <c r="U167" s="49"/>
      <c r="V167" s="49"/>
      <c r="W167" s="49"/>
      <c r="X167" s="49"/>
    </row>
    <row r="168" spans="2:24" s="177" customFormat="1" ht="14.4" x14ac:dyDescent="0.3">
      <c r="B168" s="195"/>
      <c r="C168" s="400"/>
      <c r="D168" s="195"/>
      <c r="E168" s="219" t="s">
        <v>226</v>
      </c>
      <c r="F168" s="49"/>
      <c r="G168" s="218">
        <f>VLOOKUP(G167,FabricMapping!$F$10:$J$21,3,0)</f>
        <v>2880</v>
      </c>
      <c r="H168" s="218">
        <f>VLOOKUP(H167,FabricMapping!$F$10:$J$21,4,0)</f>
        <v>20160</v>
      </c>
      <c r="I168" s="218">
        <f>VLOOKUP(I167,FabricMapping!$F$10:$J$21,5,0)</f>
        <v>87360</v>
      </c>
      <c r="J168" s="195"/>
      <c r="K168" s="195"/>
      <c r="L168" s="401"/>
      <c r="M168" s="195"/>
      <c r="N168" s="195"/>
      <c r="O168" s="195"/>
      <c r="P168" s="49"/>
      <c r="Q168" s="49"/>
      <c r="R168" s="49"/>
      <c r="S168" s="49"/>
      <c r="T168" s="49"/>
      <c r="U168" s="49"/>
      <c r="V168" s="49"/>
      <c r="W168" s="49"/>
      <c r="X168" s="49"/>
    </row>
    <row r="169" spans="2:24" s="177" customFormat="1" ht="18" hidden="1" x14ac:dyDescent="0.35">
      <c r="B169" s="221"/>
      <c r="C169" s="400"/>
      <c r="D169" s="195"/>
      <c r="E169" s="219" t="s">
        <v>227</v>
      </c>
      <c r="F169" s="49"/>
      <c r="G169" s="222">
        <f>G168*Cost_Setup!$F$7/60</f>
        <v>8.6399999999999988</v>
      </c>
      <c r="H169" s="222">
        <f>H168*Cost_Setup!$F$7/60</f>
        <v>60.48</v>
      </c>
      <c r="I169" s="222">
        <f>I168*Cost_Setup!$F$7/60</f>
        <v>262.08</v>
      </c>
      <c r="J169" s="195"/>
      <c r="K169" s="195"/>
      <c r="L169" s="401"/>
      <c r="M169" s="195"/>
      <c r="N169" s="195"/>
      <c r="O169" s="195"/>
      <c r="P169" s="49"/>
      <c r="Q169" s="49"/>
      <c r="R169" s="49"/>
      <c r="S169" s="49"/>
      <c r="T169" s="49"/>
      <c r="U169" s="49"/>
      <c r="V169" s="49"/>
      <c r="W169" s="49"/>
      <c r="X169" s="49"/>
    </row>
    <row r="170" spans="2:24" s="177" customFormat="1" ht="14.4" x14ac:dyDescent="0.3">
      <c r="B170" s="195"/>
      <c r="C170" s="400"/>
      <c r="D170" s="195"/>
      <c r="E170" s="219" t="s">
        <v>228</v>
      </c>
      <c r="F170" s="49"/>
      <c r="G170" s="223">
        <f>G166/G168</f>
        <v>0.42499999999999999</v>
      </c>
      <c r="H170" s="223">
        <f t="shared" ref="H170:I170" si="7">H166/H168</f>
        <v>0.42499999999999999</v>
      </c>
      <c r="I170" s="223">
        <f t="shared" si="7"/>
        <v>0.42499999999999999</v>
      </c>
      <c r="J170" s="195"/>
      <c r="K170" s="195"/>
      <c r="L170" s="401"/>
      <c r="M170" s="195"/>
      <c r="N170" s="195"/>
      <c r="O170" s="195"/>
      <c r="P170" s="49"/>
      <c r="Q170" s="49"/>
      <c r="R170" s="49"/>
      <c r="S170" s="49"/>
      <c r="T170" s="49"/>
      <c r="U170" s="49"/>
      <c r="V170" s="49"/>
      <c r="W170" s="49"/>
      <c r="X170" s="49"/>
    </row>
    <row r="171" spans="2:24" s="177" customFormat="1" ht="14.4" x14ac:dyDescent="0.3">
      <c r="B171" s="195"/>
      <c r="C171" s="400"/>
      <c r="D171" s="195"/>
      <c r="E171" s="195"/>
      <c r="F171" s="195"/>
      <c r="G171" s="195"/>
      <c r="H171" s="195"/>
      <c r="I171" s="195"/>
      <c r="J171" s="195"/>
      <c r="K171" s="195"/>
      <c r="L171" s="401"/>
      <c r="M171" s="195"/>
      <c r="N171" s="195"/>
      <c r="O171" s="195"/>
      <c r="P171" s="49"/>
      <c r="Q171" s="49"/>
      <c r="R171" s="49"/>
      <c r="S171" s="49"/>
      <c r="T171" s="49"/>
      <c r="U171" s="49"/>
      <c r="V171" s="49"/>
      <c r="W171" s="49"/>
      <c r="X171" s="49"/>
    </row>
    <row r="172" spans="2:24" s="177" customFormat="1" ht="14.4" x14ac:dyDescent="0.3">
      <c r="B172" s="49"/>
      <c r="C172" s="247"/>
      <c r="D172" s="49"/>
      <c r="E172" s="49"/>
      <c r="F172" s="49"/>
      <c r="G172" s="49"/>
      <c r="H172" s="49"/>
      <c r="I172" s="49"/>
      <c r="J172" s="49"/>
      <c r="K172" s="49"/>
      <c r="L172" s="248"/>
      <c r="M172" s="49"/>
      <c r="N172" s="195"/>
      <c r="O172" s="195"/>
      <c r="P172" s="49"/>
      <c r="Q172" s="49"/>
      <c r="R172" s="49"/>
      <c r="S172" s="49"/>
      <c r="T172" s="49"/>
      <c r="U172" s="49"/>
      <c r="V172" s="49"/>
      <c r="W172" s="49"/>
      <c r="X172" s="49"/>
    </row>
    <row r="173" spans="2:24" s="177" customFormat="1" ht="15" thickBot="1" x14ac:dyDescent="0.35">
      <c r="B173" s="195"/>
      <c r="C173" s="400"/>
      <c r="D173" s="195"/>
      <c r="E173" s="195"/>
      <c r="F173" s="195"/>
      <c r="G173" s="195"/>
      <c r="H173" s="195"/>
      <c r="I173" s="195"/>
      <c r="J173" s="195"/>
      <c r="K173" s="195"/>
      <c r="L173" s="401"/>
      <c r="M173" s="195"/>
      <c r="N173" s="195"/>
      <c r="O173" s="195"/>
      <c r="P173" s="49"/>
      <c r="Q173" s="49"/>
      <c r="R173" s="49"/>
      <c r="S173" s="49"/>
      <c r="T173" s="49"/>
      <c r="U173" s="49"/>
      <c r="V173" s="49"/>
      <c r="W173" s="49"/>
      <c r="X173" s="49"/>
    </row>
    <row r="174" spans="2:24" s="177" customFormat="1" ht="14.4" x14ac:dyDescent="0.3">
      <c r="B174" s="195"/>
      <c r="C174" s="400"/>
      <c r="D174" s="195"/>
      <c r="E174" s="195"/>
      <c r="F174" s="195"/>
      <c r="G174" s="563" t="s">
        <v>240</v>
      </c>
      <c r="H174" s="564"/>
      <c r="I174" s="564"/>
      <c r="J174" s="564"/>
      <c r="K174" s="565"/>
      <c r="L174" s="401"/>
      <c r="M174" s="195"/>
      <c r="N174" s="195"/>
      <c r="O174" s="195"/>
      <c r="P174" s="49"/>
      <c r="Q174" s="49"/>
      <c r="R174" s="49"/>
      <c r="S174" s="49"/>
      <c r="T174" s="49"/>
      <c r="U174" s="49"/>
      <c r="V174" s="49"/>
      <c r="W174" s="49"/>
      <c r="X174" s="49"/>
    </row>
    <row r="175" spans="2:24" s="177" customFormat="1" ht="14.4" x14ac:dyDescent="0.3">
      <c r="B175" s="195"/>
      <c r="C175" s="400"/>
      <c r="D175" s="195"/>
      <c r="E175" s="195"/>
      <c r="F175" s="195"/>
      <c r="G175" s="202" t="s">
        <v>55</v>
      </c>
      <c r="H175" s="224" t="s">
        <v>241</v>
      </c>
      <c r="I175" s="224" t="s">
        <v>242</v>
      </c>
      <c r="J175" s="224" t="s">
        <v>243</v>
      </c>
      <c r="K175" s="198" t="s">
        <v>244</v>
      </c>
      <c r="L175" s="401"/>
      <c r="M175" s="195"/>
      <c r="N175" s="195"/>
      <c r="O175" s="195"/>
      <c r="P175" s="49"/>
      <c r="Q175" s="49"/>
      <c r="R175" s="49"/>
      <c r="S175" s="49"/>
      <c r="T175" s="49"/>
      <c r="U175" s="49"/>
      <c r="V175" s="49"/>
      <c r="W175" s="49"/>
      <c r="X175" s="49"/>
    </row>
    <row r="176" spans="2:24" s="177" customFormat="1" ht="15" thickBot="1" x14ac:dyDescent="0.35">
      <c r="B176" s="195"/>
      <c r="C176" s="400"/>
      <c r="D176" s="195"/>
      <c r="E176" s="195"/>
      <c r="F176" s="195"/>
      <c r="G176" s="233" t="s">
        <v>56</v>
      </c>
      <c r="H176" s="226">
        <f>IFERROR(VLOOKUP($G$176,FabricMapping!$F$39:$J$43,4,FALSE),0)</f>
        <v>4</v>
      </c>
      <c r="I176" s="226">
        <f>IFERROR(VLOOKUP($G$176,FabricMapping!$F$39:$J$43,5,FALSE),0)</f>
        <v>60</v>
      </c>
      <c r="J176" s="226">
        <f>IFERROR((FabricMapping!$U$31*2)/$H$176,0)</f>
        <v>32</v>
      </c>
      <c r="K176" s="227">
        <f>J176*H176</f>
        <v>128</v>
      </c>
      <c r="L176" s="401"/>
      <c r="M176" s="195"/>
      <c r="N176" s="228"/>
      <c r="O176" s="195"/>
      <c r="P176" s="49"/>
      <c r="Q176" s="49"/>
      <c r="R176" s="49"/>
      <c r="S176" s="49"/>
      <c r="T176" s="49"/>
      <c r="U176" s="49"/>
      <c r="V176" s="49"/>
      <c r="W176" s="49"/>
      <c r="X176" s="49"/>
    </row>
    <row r="177" spans="2:24" s="177" customFormat="1" ht="14.4" x14ac:dyDescent="0.3">
      <c r="B177" s="195"/>
      <c r="C177" s="400"/>
      <c r="D177" s="195"/>
      <c r="E177" s="195"/>
      <c r="F177" s="195"/>
      <c r="G177" s="195"/>
      <c r="H177" s="195"/>
      <c r="I177" s="195"/>
      <c r="J177" s="195"/>
      <c r="K177" s="195"/>
      <c r="L177" s="401"/>
      <c r="M177" s="195"/>
      <c r="N177" s="195"/>
      <c r="O177" s="195"/>
      <c r="P177" s="49"/>
      <c r="Q177" s="49"/>
      <c r="R177" s="49"/>
      <c r="S177" s="49"/>
      <c r="T177" s="49"/>
      <c r="U177" s="49"/>
      <c r="V177" s="49"/>
      <c r="W177" s="49"/>
      <c r="X177" s="49"/>
    </row>
    <row r="178" spans="2:24" s="177" customFormat="1" ht="15" thickBot="1" x14ac:dyDescent="0.35">
      <c r="B178" s="195"/>
      <c r="C178" s="400"/>
      <c r="D178" s="195"/>
      <c r="E178" s="195"/>
      <c r="F178" s="195"/>
      <c r="G178" s="195"/>
      <c r="H178" s="195"/>
      <c r="I178" s="195"/>
      <c r="J178" s="195"/>
      <c r="K178" s="195"/>
      <c r="L178" s="401"/>
      <c r="M178" s="195"/>
      <c r="N178" s="195"/>
      <c r="O178" s="195"/>
      <c r="P178" s="49"/>
      <c r="Q178" s="49"/>
      <c r="R178" s="49"/>
      <c r="S178" s="49"/>
      <c r="T178" s="49"/>
      <c r="U178" s="49"/>
      <c r="V178" s="49"/>
      <c r="W178" s="49"/>
      <c r="X178" s="49"/>
    </row>
    <row r="179" spans="2:24" s="177" customFormat="1" ht="18.75" customHeight="1" thickBot="1" x14ac:dyDescent="0.35">
      <c r="B179" s="195"/>
      <c r="C179" s="400"/>
      <c r="D179" s="195"/>
      <c r="E179" s="562" t="s">
        <v>267</v>
      </c>
      <c r="F179" s="195"/>
      <c r="G179" s="563" t="str">
        <f>"Gold Zone - Data Engineering ("&amp;G176&amp;" Spark Cluster)"</f>
        <v>Gold Zone - Data Engineering (Medium (8 vCore, 64 Mem) Spark Cluster)</v>
      </c>
      <c r="H179" s="564"/>
      <c r="I179" s="564"/>
      <c r="J179" s="564"/>
      <c r="K179" s="565"/>
      <c r="L179" s="401"/>
      <c r="M179" s="195"/>
      <c r="N179" s="195"/>
      <c r="O179" s="195"/>
      <c r="P179" s="49"/>
      <c r="Q179" s="49"/>
      <c r="R179" s="49"/>
      <c r="S179" s="49"/>
      <c r="T179" s="49"/>
      <c r="U179" s="49"/>
      <c r="V179" s="49"/>
      <c r="W179" s="49"/>
      <c r="X179" s="49"/>
    </row>
    <row r="180" spans="2:24" s="177" customFormat="1" ht="15" thickBot="1" x14ac:dyDescent="0.35">
      <c r="B180" s="195"/>
      <c r="C180" s="400"/>
      <c r="D180" s="195"/>
      <c r="E180" s="562"/>
      <c r="F180" s="195"/>
      <c r="G180" s="241" t="s">
        <v>254</v>
      </c>
      <c r="H180" s="242">
        <f>MAX(12,ROUNDUP($G$6/8,0))</f>
        <v>125</v>
      </c>
      <c r="I180" s="243"/>
      <c r="J180" s="243"/>
      <c r="K180" s="244"/>
      <c r="L180" s="401"/>
      <c r="M180" s="195"/>
      <c r="N180" s="195"/>
      <c r="O180" s="195"/>
      <c r="P180" s="49"/>
      <c r="Q180" s="49"/>
      <c r="R180" s="49"/>
      <c r="S180" s="49"/>
      <c r="T180" s="49"/>
      <c r="U180" s="49"/>
      <c r="V180" s="49"/>
      <c r="W180" s="49"/>
      <c r="X180" s="49"/>
    </row>
    <row r="181" spans="2:24" s="177" customFormat="1" ht="14.4" x14ac:dyDescent="0.3">
      <c r="B181" s="195"/>
      <c r="C181" s="400"/>
      <c r="D181" s="195"/>
      <c r="E181" s="562"/>
      <c r="F181" s="195"/>
      <c r="G181" s="205" t="s">
        <v>268</v>
      </c>
      <c r="H181" s="224" t="s">
        <v>246</v>
      </c>
      <c r="I181" s="224" t="s">
        <v>258</v>
      </c>
      <c r="J181" s="567" t="s">
        <v>269</v>
      </c>
      <c r="K181" s="568"/>
      <c r="L181" s="401"/>
      <c r="M181" s="195"/>
      <c r="N181" s="195"/>
      <c r="O181" s="195"/>
      <c r="P181" s="49"/>
      <c r="Q181" s="49"/>
      <c r="R181" s="49"/>
      <c r="S181" s="49"/>
      <c r="T181" s="49"/>
      <c r="U181" s="49"/>
      <c r="V181" s="49"/>
      <c r="W181" s="49"/>
      <c r="X181" s="49"/>
    </row>
    <row r="182" spans="2:24" s="177" customFormat="1" ht="15" thickBot="1" x14ac:dyDescent="0.35">
      <c r="B182" s="195"/>
      <c r="C182" s="400"/>
      <c r="D182" s="195"/>
      <c r="E182" s="562"/>
      <c r="F182" s="195"/>
      <c r="G182" s="237">
        <f>$G$5</f>
        <v>1</v>
      </c>
      <c r="H182" s="226">
        <f>IFERROR(ROUNDUP((($K$46/$H$180)/$I$176),0)+1,0)</f>
        <v>2</v>
      </c>
      <c r="I182" s="226">
        <f>(K46/1000)*2.5</f>
        <v>13.5</v>
      </c>
      <c r="J182" s="570">
        <f>SUM(J184:K186)*G182</f>
        <v>1197</v>
      </c>
      <c r="K182" s="571"/>
      <c r="L182" s="401"/>
      <c r="M182" s="195"/>
      <c r="N182" s="228"/>
      <c r="O182" s="195"/>
      <c r="P182" s="49"/>
      <c r="Q182" s="49"/>
      <c r="R182" s="49"/>
      <c r="S182" s="49"/>
      <c r="T182" s="49"/>
      <c r="U182" s="49"/>
      <c r="V182" s="49"/>
      <c r="W182" s="49"/>
      <c r="X182" s="49"/>
    </row>
    <row r="183" spans="2:24" s="177" customFormat="1" ht="14.4" x14ac:dyDescent="0.3">
      <c r="B183" s="195"/>
      <c r="C183" s="400"/>
      <c r="D183" s="195"/>
      <c r="E183" s="562"/>
      <c r="F183" s="195"/>
      <c r="G183" s="205" t="s">
        <v>270</v>
      </c>
      <c r="H183" s="224" t="s">
        <v>260</v>
      </c>
      <c r="I183" s="249" t="s">
        <v>271</v>
      </c>
      <c r="J183" s="577" t="s">
        <v>248</v>
      </c>
      <c r="K183" s="578"/>
      <c r="L183" s="401"/>
      <c r="M183" s="195"/>
      <c r="N183" s="195"/>
      <c r="O183" s="195"/>
      <c r="P183" s="49"/>
      <c r="Q183" s="49"/>
      <c r="R183" s="49"/>
      <c r="S183" s="49"/>
      <c r="T183" s="49"/>
      <c r="U183" s="49"/>
      <c r="V183" s="49"/>
      <c r="W183" s="49"/>
      <c r="X183" s="49"/>
    </row>
    <row r="184" spans="2:24" s="177" customFormat="1" ht="14.4" x14ac:dyDescent="0.3">
      <c r="B184" s="195"/>
      <c r="C184" s="400"/>
      <c r="D184" s="195"/>
      <c r="E184" s="562"/>
      <c r="F184" s="195"/>
      <c r="G184" s="250" t="s">
        <v>262</v>
      </c>
      <c r="H184" s="419">
        <f>ROUNDUP(VLOOKUP($G184,FabricMapping!$F$28:$I$31,3,FALSE)*ROUNDUP($H$180,0),0)+IF(UserInputs!$D$4="Data Lakehouse",0,$G$6)</f>
        <v>107</v>
      </c>
      <c r="I184" s="251">
        <f>($I$182/(H184))+0.35</f>
        <v>0.47616822429906536</v>
      </c>
      <c r="J184" s="579">
        <f>ROUNDUP(H184*I184*(($H$182*VLOOKUP(G184,FabricMapping!$F$28:$N$31,7,FALSE))*$H$176),0)</f>
        <v>408</v>
      </c>
      <c r="K184" s="580"/>
      <c r="L184" s="401"/>
      <c r="M184" s="195"/>
      <c r="N184" s="228"/>
      <c r="O184" s="195"/>
      <c r="P184" s="49"/>
      <c r="Q184" s="49"/>
      <c r="R184" s="49"/>
      <c r="S184" s="49"/>
      <c r="T184" s="49"/>
      <c r="U184" s="49"/>
      <c r="V184" s="49"/>
      <c r="W184" s="49"/>
      <c r="X184" s="49"/>
    </row>
    <row r="185" spans="2:24" s="177" customFormat="1" ht="14.4" x14ac:dyDescent="0.3">
      <c r="B185" s="195"/>
      <c r="C185" s="400"/>
      <c r="D185" s="195"/>
      <c r="E185" s="562"/>
      <c r="F185" s="195"/>
      <c r="G185" s="250" t="s">
        <v>263</v>
      </c>
      <c r="H185" s="419">
        <f>ROUNDUP(VLOOKUP($G185,FabricMapping!$F$28:$I$31,3,FALSE)*ROUNDUP($H$180,0),0)</f>
        <v>13</v>
      </c>
      <c r="I185" s="251">
        <f>($I$182/(H185))+0.35</f>
        <v>1.3884615384615384</v>
      </c>
      <c r="J185" s="579">
        <f>ROUNDUP(H185*I185*(($H$182*VLOOKUP(G185,FabricMapping!$F$28:$N$31,7,FALSE))*$H$176),0)</f>
        <v>289</v>
      </c>
      <c r="K185" s="580"/>
      <c r="L185" s="401"/>
      <c r="M185" s="195"/>
      <c r="N185" s="228"/>
      <c r="O185" s="195"/>
      <c r="P185" s="49"/>
      <c r="Q185" s="49"/>
      <c r="R185" s="49"/>
      <c r="S185" s="49"/>
      <c r="T185" s="49"/>
      <c r="U185" s="49"/>
      <c r="V185" s="49"/>
      <c r="W185" s="49"/>
      <c r="X185" s="49"/>
    </row>
    <row r="186" spans="2:24" s="177" customFormat="1" ht="15" thickBot="1" x14ac:dyDescent="0.35">
      <c r="B186" s="195"/>
      <c r="C186" s="400"/>
      <c r="D186" s="195"/>
      <c r="E186" s="562"/>
      <c r="F186" s="195"/>
      <c r="G186" s="237" t="s">
        <v>264</v>
      </c>
      <c r="H186" s="422">
        <f>ROUNDUP(VLOOKUP($G186,FabricMapping!$F$28:$I$31,3,FALSE)*ROUNDUP($H$180,0),0)</f>
        <v>7</v>
      </c>
      <c r="I186" s="252">
        <f>($I$182/(H186))+0.3</f>
        <v>2.2285714285714286</v>
      </c>
      <c r="J186" s="570">
        <f>ROUNDUP(H186*I186*(($H$182*VLOOKUP(G186,FabricMapping!$F$28:$N$31,7,FALSE))*$H$176),0)</f>
        <v>500</v>
      </c>
      <c r="K186" s="571"/>
      <c r="L186" s="401"/>
      <c r="M186" s="195"/>
      <c r="N186" s="228"/>
      <c r="O186" s="195"/>
      <c r="P186" s="49"/>
      <c r="Q186" s="49"/>
      <c r="R186" s="49"/>
      <c r="S186" s="49"/>
      <c r="T186" s="49"/>
      <c r="U186" s="49"/>
      <c r="V186" s="49"/>
      <c r="W186" s="49"/>
      <c r="X186" s="49"/>
    </row>
    <row r="187" spans="2:24" s="177" customFormat="1" ht="14.4" x14ac:dyDescent="0.3">
      <c r="B187" s="195"/>
      <c r="C187" s="400"/>
      <c r="D187" s="195"/>
      <c r="E187" s="473"/>
      <c r="F187" s="195"/>
      <c r="G187" s="270"/>
      <c r="H187" s="494"/>
      <c r="I187" s="495"/>
      <c r="J187" s="270"/>
      <c r="K187" s="270"/>
      <c r="L187" s="401"/>
      <c r="M187" s="195"/>
      <c r="N187" s="228"/>
      <c r="O187" s="195"/>
      <c r="P187" s="49"/>
      <c r="Q187" s="49"/>
      <c r="R187" s="49"/>
      <c r="S187" s="49"/>
      <c r="T187" s="49"/>
      <c r="U187" s="49"/>
      <c r="V187" s="49"/>
      <c r="W187" s="49"/>
      <c r="X187" s="49"/>
    </row>
    <row r="188" spans="2:24" s="177" customFormat="1" ht="14.4" x14ac:dyDescent="0.3">
      <c r="B188" s="195"/>
      <c r="C188" s="400"/>
      <c r="D188" s="195"/>
      <c r="E188" s="473"/>
      <c r="F188" s="195"/>
      <c r="G188" s="481" t="s">
        <v>205</v>
      </c>
      <c r="H188" s="482" t="s">
        <v>236</v>
      </c>
      <c r="I188" s="482" t="s">
        <v>237</v>
      </c>
      <c r="J188" s="482" t="s">
        <v>238</v>
      </c>
      <c r="K188" s="483" t="s">
        <v>209</v>
      </c>
      <c r="L188" s="401"/>
      <c r="M188" s="195"/>
      <c r="N188" s="228"/>
      <c r="O188" s="195"/>
      <c r="P188" s="49"/>
      <c r="Q188" s="49"/>
      <c r="R188" s="49"/>
      <c r="S188" s="49"/>
      <c r="T188" s="49"/>
      <c r="U188" s="49"/>
      <c r="V188" s="49"/>
      <c r="W188" s="49"/>
      <c r="X188" s="49"/>
    </row>
    <row r="189" spans="2:24" s="177" customFormat="1" ht="14.4" x14ac:dyDescent="0.3">
      <c r="B189" s="195"/>
      <c r="C189" s="400"/>
      <c r="D189" s="195"/>
      <c r="E189" s="473"/>
      <c r="F189" s="195"/>
      <c r="G189" s="484">
        <f>ROUNDUP((((((LEFT($G$8,LEN($G$8)-2)*1024)/SUM($H$184:$H$186)))/4)*SUM($H$184:$H$186)*$G$5)*FabricMapping!$AR$61,0)</f>
        <v>2</v>
      </c>
      <c r="H189" s="485">
        <f>ROUNDUP((((((LEFT($G$8,LEN($G$8)-2)*1024)/SUM($H$184:$H$186)))/4)*SUM($H$184:$H$186)*$G$5)*FabricMapping!$AR$62,0)</f>
        <v>21</v>
      </c>
      <c r="I189" s="485">
        <f>ROUNDUP((SUM($H$184:$H$186)*$G$5)*FabricMapping!$AR$63,0)</f>
        <v>1</v>
      </c>
      <c r="J189" s="485">
        <f>ROUNDUP((SUM($H$184:$H$186)*$G$5)*FabricMapping!$AR$64,0)</f>
        <v>3</v>
      </c>
      <c r="K189" s="486">
        <f>SUM(G189:J189)</f>
        <v>27</v>
      </c>
      <c r="L189" s="401"/>
      <c r="M189" s="195"/>
      <c r="N189" s="228"/>
      <c r="O189" s="195"/>
      <c r="P189" s="49"/>
      <c r="Q189" s="49"/>
      <c r="R189" s="49"/>
      <c r="S189" s="49"/>
      <c r="T189" s="49"/>
      <c r="U189" s="49"/>
      <c r="V189" s="49"/>
      <c r="W189" s="49"/>
      <c r="X189" s="49"/>
    </row>
    <row r="190" spans="2:24" s="177" customFormat="1" ht="14.4" x14ac:dyDescent="0.3">
      <c r="B190" s="195"/>
      <c r="C190" s="400"/>
      <c r="D190" s="195"/>
      <c r="E190" s="195"/>
      <c r="F190" s="195"/>
      <c r="G190" s="195"/>
      <c r="H190" s="195"/>
      <c r="I190" s="195"/>
      <c r="J190" s="195"/>
      <c r="K190" s="195"/>
      <c r="L190" s="401"/>
      <c r="M190" s="195"/>
      <c r="N190" s="195"/>
      <c r="O190" s="195"/>
      <c r="P190" s="49"/>
      <c r="Q190" s="49"/>
      <c r="R190" s="49"/>
      <c r="S190" s="49"/>
      <c r="T190" s="49"/>
      <c r="U190" s="49"/>
      <c r="V190" s="49"/>
      <c r="W190" s="49"/>
      <c r="X190" s="49"/>
    </row>
    <row r="191" spans="2:24" s="177" customFormat="1" ht="15" thickBot="1" x14ac:dyDescent="0.35">
      <c r="B191" s="195"/>
      <c r="C191" s="400"/>
      <c r="D191" s="195"/>
      <c r="E191" s="195"/>
      <c r="F191" s="195"/>
      <c r="G191" s="195"/>
      <c r="H191" s="195"/>
      <c r="I191" s="195"/>
      <c r="J191" s="195"/>
      <c r="K191" s="195"/>
      <c r="L191" s="401"/>
      <c r="M191" s="195"/>
      <c r="N191" s="195"/>
      <c r="O191" s="195"/>
      <c r="P191" s="49"/>
      <c r="Q191" s="49"/>
      <c r="R191" s="49"/>
      <c r="S191" s="49"/>
      <c r="T191" s="49"/>
      <c r="U191" s="49"/>
      <c r="V191" s="49"/>
      <c r="W191" s="49"/>
      <c r="X191" s="49"/>
    </row>
    <row r="192" spans="2:24" s="177" customFormat="1" ht="28.8" x14ac:dyDescent="0.3">
      <c r="B192" s="195"/>
      <c r="C192" s="400"/>
      <c r="D192" s="195"/>
      <c r="E192" s="195"/>
      <c r="F192" s="195"/>
      <c r="G192" s="216" t="s">
        <v>222</v>
      </c>
      <c r="H192" s="216" t="s">
        <v>223</v>
      </c>
      <c r="I192" s="216" t="s">
        <v>224</v>
      </c>
      <c r="J192" s="195"/>
      <c r="K192" s="195"/>
      <c r="L192" s="401"/>
      <c r="M192" s="195"/>
      <c r="N192" s="195"/>
      <c r="O192" s="195"/>
      <c r="P192" s="49"/>
      <c r="Q192" s="49"/>
      <c r="R192" s="49"/>
      <c r="S192" s="49"/>
      <c r="T192" s="49"/>
      <c r="U192" s="49"/>
      <c r="V192" s="49"/>
      <c r="W192" s="49"/>
      <c r="X192" s="49"/>
    </row>
    <row r="193" spans="1:24" s="177" customFormat="1" ht="14.4" x14ac:dyDescent="0.3">
      <c r="A193" s="195"/>
      <c r="B193" s="195"/>
      <c r="C193" s="400"/>
      <c r="D193" s="195"/>
      <c r="E193" s="217" t="s">
        <v>272</v>
      </c>
      <c r="F193" s="49"/>
      <c r="G193" s="218">
        <f>J203</f>
        <v>7680</v>
      </c>
      <c r="H193" s="218">
        <f>G193*$G$3</f>
        <v>15360</v>
      </c>
      <c r="I193" s="218">
        <f>H193*52/12</f>
        <v>66560</v>
      </c>
      <c r="J193" s="195"/>
      <c r="K193" s="195"/>
      <c r="L193" s="401"/>
      <c r="M193" s="195"/>
      <c r="N193" s="195"/>
      <c r="O193" s="195"/>
      <c r="P193" s="49"/>
      <c r="Q193" s="49"/>
      <c r="R193" s="49"/>
      <c r="S193" s="49"/>
      <c r="T193" s="49"/>
      <c r="U193" s="49"/>
      <c r="V193" s="49"/>
      <c r="W193" s="49"/>
      <c r="X193" s="49"/>
    </row>
    <row r="194" spans="1:24" s="177" customFormat="1" ht="14.4" x14ac:dyDescent="0.3">
      <c r="A194" s="195"/>
      <c r="B194" s="195"/>
      <c r="C194" s="400"/>
      <c r="D194" s="195"/>
      <c r="E194" s="219" t="s">
        <v>225</v>
      </c>
      <c r="F194" s="49"/>
      <c r="G194" s="220" t="str">
        <f>VLOOKUP(G193,FabricMapping!$C$11:$F$21,4,1)</f>
        <v>F8</v>
      </c>
      <c r="H194" s="220" t="str">
        <f>VLOOKUP(H193,FabricMapping!$D$11:$F$21,3,1)</f>
        <v>F2</v>
      </c>
      <c r="I194" s="220" t="str">
        <f>VLOOKUP(I193,FabricMapping!$E$11:$F$21,2,1)</f>
        <v>F2</v>
      </c>
      <c r="J194" s="195"/>
      <c r="K194" s="195"/>
      <c r="L194" s="401"/>
      <c r="M194" s="195"/>
      <c r="N194" s="195"/>
      <c r="O194" s="195"/>
      <c r="P194" s="49"/>
      <c r="Q194" s="49"/>
      <c r="R194" s="49"/>
      <c r="S194" s="49"/>
      <c r="T194" s="49"/>
      <c r="U194" s="49"/>
      <c r="V194" s="49"/>
      <c r="W194" s="49"/>
      <c r="X194" s="49"/>
    </row>
    <row r="195" spans="1:24" s="177" customFormat="1" ht="14.4" x14ac:dyDescent="0.3">
      <c r="A195" s="195"/>
      <c r="B195" s="195"/>
      <c r="C195" s="400"/>
      <c r="D195" s="195"/>
      <c r="E195" s="219" t="s">
        <v>226</v>
      </c>
      <c r="F195" s="49"/>
      <c r="G195" s="218">
        <f>VLOOKUP(G194,FabricMapping!$F$10:$J$21,3,0)</f>
        <v>11520</v>
      </c>
      <c r="H195" s="218">
        <f>VLOOKUP(H194,FabricMapping!$F$10:$J$21,4,0)</f>
        <v>20160</v>
      </c>
      <c r="I195" s="218">
        <f>VLOOKUP(I194,FabricMapping!$F$10:$J$21,5,0)</f>
        <v>87360</v>
      </c>
      <c r="J195" s="195"/>
      <c r="K195" s="195"/>
      <c r="L195" s="401"/>
      <c r="M195" s="195"/>
      <c r="N195" s="195"/>
      <c r="O195" s="195"/>
      <c r="P195" s="49"/>
      <c r="Q195" s="49"/>
      <c r="R195" s="49"/>
      <c r="S195" s="49"/>
      <c r="T195" s="49"/>
      <c r="U195" s="49"/>
      <c r="V195" s="49"/>
      <c r="W195" s="49"/>
      <c r="X195" s="49"/>
    </row>
    <row r="196" spans="1:24" s="177" customFormat="1" ht="18" hidden="1" x14ac:dyDescent="0.35">
      <c r="A196" s="195"/>
      <c r="B196" s="221"/>
      <c r="C196" s="400"/>
      <c r="D196" s="195"/>
      <c r="E196" s="219" t="s">
        <v>227</v>
      </c>
      <c r="F196" s="49"/>
      <c r="G196" s="222">
        <f>G195*Cost_Setup!$F$7/60</f>
        <v>34.559999999999995</v>
      </c>
      <c r="H196" s="222">
        <f>H195*Cost_Setup!$F$7/60</f>
        <v>60.48</v>
      </c>
      <c r="I196" s="222">
        <f>I195*Cost_Setup!$F$7/60</f>
        <v>262.08</v>
      </c>
      <c r="J196" s="195"/>
      <c r="K196" s="195"/>
      <c r="L196" s="401"/>
      <c r="M196" s="195"/>
      <c r="N196" s="195"/>
      <c r="O196" s="195"/>
      <c r="P196" s="49"/>
      <c r="Q196" s="49"/>
      <c r="R196" s="49"/>
      <c r="S196" s="49"/>
      <c r="T196" s="49"/>
      <c r="U196" s="49"/>
      <c r="V196" s="49"/>
      <c r="W196" s="49"/>
      <c r="X196" s="49"/>
    </row>
    <row r="197" spans="1:24" s="177" customFormat="1" ht="14.4" x14ac:dyDescent="0.3">
      <c r="A197" s="195"/>
      <c r="B197" s="195"/>
      <c r="C197" s="400"/>
      <c r="D197" s="195"/>
      <c r="E197" s="219" t="s">
        <v>228</v>
      </c>
      <c r="F197" s="49"/>
      <c r="G197" s="223">
        <f>G193/G195</f>
        <v>0.66666666666666663</v>
      </c>
      <c r="H197" s="223">
        <f t="shared" ref="H197:I197" si="8">H193/H195</f>
        <v>0.76190476190476186</v>
      </c>
      <c r="I197" s="223">
        <f t="shared" si="8"/>
        <v>0.76190476190476186</v>
      </c>
      <c r="J197" s="195"/>
      <c r="K197" s="195"/>
      <c r="L197" s="401"/>
      <c r="M197" s="195"/>
      <c r="N197" s="195"/>
      <c r="O197" s="195"/>
      <c r="P197" s="49"/>
      <c r="Q197" s="49"/>
      <c r="R197" s="49"/>
      <c r="S197" s="49"/>
      <c r="T197" s="49"/>
      <c r="U197" s="49"/>
      <c r="V197" s="49"/>
      <c r="W197" s="49"/>
      <c r="X197" s="49"/>
    </row>
    <row r="198" spans="1:24" s="177" customFormat="1" ht="14.4" x14ac:dyDescent="0.3">
      <c r="A198" s="195"/>
      <c r="B198" s="195"/>
      <c r="C198" s="400"/>
      <c r="D198" s="195"/>
      <c r="E198" s="195"/>
      <c r="F198" s="195"/>
      <c r="G198" s="195"/>
      <c r="H198" s="195"/>
      <c r="I198" s="195"/>
      <c r="J198" s="195"/>
      <c r="K198" s="195"/>
      <c r="L198" s="401"/>
      <c r="M198" s="195"/>
      <c r="N198" s="195"/>
      <c r="O198" s="195"/>
      <c r="P198" s="49"/>
      <c r="Q198" s="49"/>
      <c r="R198" s="49"/>
      <c r="S198" s="49"/>
      <c r="T198" s="49"/>
      <c r="U198" s="49"/>
      <c r="V198" s="49"/>
      <c r="W198" s="49"/>
      <c r="X198" s="49"/>
    </row>
    <row r="199" spans="1:24" s="177" customFormat="1" ht="14.4" x14ac:dyDescent="0.3">
      <c r="A199" s="195"/>
      <c r="B199" s="195"/>
      <c r="C199" s="400"/>
      <c r="D199" s="195"/>
      <c r="E199" s="195"/>
      <c r="F199" s="195"/>
      <c r="G199" s="195"/>
      <c r="H199" s="195"/>
      <c r="I199" s="195"/>
      <c r="J199" s="195"/>
      <c r="K199" s="195"/>
      <c r="L199" s="401"/>
      <c r="M199" s="195"/>
      <c r="N199" s="195"/>
      <c r="O199" s="195"/>
      <c r="P199" s="49"/>
      <c r="Q199" s="49"/>
      <c r="R199" s="49"/>
      <c r="S199" s="49"/>
      <c r="T199" s="49"/>
      <c r="U199" s="49"/>
      <c r="V199" s="49"/>
      <c r="W199" s="49"/>
      <c r="X199" s="49"/>
    </row>
    <row r="200" spans="1:24" s="177" customFormat="1" ht="15" thickBot="1" x14ac:dyDescent="0.35">
      <c r="A200" s="195"/>
      <c r="B200" s="195"/>
      <c r="C200" s="400"/>
      <c r="D200" s="195"/>
      <c r="E200" s="195"/>
      <c r="F200" s="195"/>
      <c r="G200" s="195"/>
      <c r="H200" s="195"/>
      <c r="I200" s="195"/>
      <c r="J200" s="195"/>
      <c r="K200" s="195"/>
      <c r="L200" s="401"/>
      <c r="M200" s="195"/>
      <c r="N200" s="195"/>
      <c r="O200" s="195"/>
      <c r="P200" s="49"/>
      <c r="Q200" s="49"/>
      <c r="R200" s="49"/>
      <c r="S200" s="49"/>
      <c r="T200" s="49"/>
      <c r="U200" s="49"/>
      <c r="V200" s="49"/>
      <c r="W200" s="49"/>
      <c r="X200" s="49"/>
    </row>
    <row r="201" spans="1:24" s="177" customFormat="1" ht="14.4" x14ac:dyDescent="0.3">
      <c r="A201" s="195"/>
      <c r="B201" s="195"/>
      <c r="C201" s="400"/>
      <c r="D201" s="195"/>
      <c r="E201" s="562" t="s">
        <v>273</v>
      </c>
      <c r="F201" s="195"/>
      <c r="G201" s="563" t="s">
        <v>274</v>
      </c>
      <c r="H201" s="564"/>
      <c r="I201" s="564"/>
      <c r="J201" s="564"/>
      <c r="K201" s="565"/>
      <c r="L201" s="401"/>
      <c r="M201" s="195"/>
      <c r="N201" s="195"/>
      <c r="O201" s="195"/>
      <c r="P201" s="49"/>
      <c r="Q201" s="49"/>
      <c r="R201" s="49"/>
      <c r="S201" s="49"/>
      <c r="T201" s="49"/>
      <c r="U201" s="49"/>
      <c r="V201" s="49"/>
      <c r="W201" s="49"/>
      <c r="X201" s="49"/>
    </row>
    <row r="202" spans="1:24" s="177" customFormat="1" ht="14.4" x14ac:dyDescent="0.3">
      <c r="A202" s="195"/>
      <c r="B202" s="195"/>
      <c r="C202" s="400"/>
      <c r="D202" s="195"/>
      <c r="E202" s="562"/>
      <c r="F202" s="195"/>
      <c r="G202" s="584" t="s">
        <v>275</v>
      </c>
      <c r="H202" s="585"/>
      <c r="I202" s="414" t="s">
        <v>258</v>
      </c>
      <c r="J202" s="585" t="s">
        <v>248</v>
      </c>
      <c r="K202" s="586"/>
      <c r="L202" s="401"/>
      <c r="M202" s="195"/>
      <c r="N202" s="195"/>
      <c r="O202" s="195"/>
      <c r="P202" s="49"/>
      <c r="Q202" s="49"/>
      <c r="R202" s="49"/>
      <c r="S202" s="49"/>
      <c r="T202" s="49"/>
      <c r="U202" s="49"/>
      <c r="V202" s="49"/>
      <c r="W202" s="49"/>
      <c r="X202" s="49"/>
    </row>
    <row r="203" spans="1:24" s="177" customFormat="1" ht="15" thickBot="1" x14ac:dyDescent="0.35">
      <c r="A203" s="195"/>
      <c r="B203" s="195"/>
      <c r="C203" s="400"/>
      <c r="D203" s="195"/>
      <c r="E203" s="562"/>
      <c r="F203" s="195"/>
      <c r="G203" s="583">
        <f>$G$20</f>
        <v>4</v>
      </c>
      <c r="H203" s="581"/>
      <c r="I203" s="424">
        <f>G19*60*0.25</f>
        <v>120</v>
      </c>
      <c r="J203" s="581">
        <f>($G$203*(2*FabricMapping!$AN$36))*$I$203</f>
        <v>7680</v>
      </c>
      <c r="K203" s="582"/>
      <c r="L203" s="401"/>
      <c r="M203" s="195"/>
      <c r="N203" s="228"/>
      <c r="O203" s="195"/>
      <c r="P203" s="49"/>
      <c r="Q203" s="49"/>
      <c r="R203" s="49"/>
      <c r="S203" s="49"/>
      <c r="T203" s="49"/>
      <c r="U203" s="49"/>
      <c r="V203" s="49"/>
      <c r="W203" s="49"/>
      <c r="X203" s="49"/>
    </row>
    <row r="204" spans="1:24" s="177" customFormat="1" ht="14.4" x14ac:dyDescent="0.3">
      <c r="A204" s="195"/>
      <c r="B204" s="195"/>
      <c r="C204" s="400"/>
      <c r="D204" s="195"/>
      <c r="E204" s="195"/>
      <c r="F204" s="195"/>
      <c r="G204" s="195"/>
      <c r="H204" s="195"/>
      <c r="I204" s="195"/>
      <c r="J204" s="195"/>
      <c r="K204" s="195"/>
      <c r="L204" s="401"/>
      <c r="M204" s="195"/>
      <c r="N204" s="195"/>
      <c r="O204" s="195"/>
      <c r="P204" s="49"/>
      <c r="Q204" s="49"/>
      <c r="R204" s="49"/>
      <c r="S204" s="49"/>
      <c r="T204" s="49"/>
      <c r="U204" s="49"/>
      <c r="V204" s="49"/>
      <c r="W204" s="49"/>
      <c r="X204" s="49"/>
    </row>
    <row r="205" spans="1:24" s="177" customFormat="1" ht="14.4" x14ac:dyDescent="0.3">
      <c r="A205" s="195"/>
      <c r="B205" s="195"/>
      <c r="C205" s="400"/>
      <c r="D205" s="195"/>
      <c r="E205" s="195"/>
      <c r="F205" s="195"/>
      <c r="G205" s="195"/>
      <c r="H205" s="195"/>
      <c r="I205" s="195"/>
      <c r="J205" s="195"/>
      <c r="K205" s="195"/>
      <c r="L205" s="401"/>
      <c r="M205" s="195"/>
      <c r="N205" s="195"/>
      <c r="O205" s="195"/>
      <c r="P205" s="49"/>
      <c r="Q205" s="49"/>
      <c r="R205" s="49"/>
      <c r="S205" s="49"/>
      <c r="T205" s="49"/>
      <c r="U205" s="49"/>
      <c r="V205" s="49"/>
      <c r="W205" s="49"/>
      <c r="X205" s="49"/>
    </row>
    <row r="206" spans="1:24" s="177" customFormat="1" ht="18.75" customHeight="1" thickBot="1" x14ac:dyDescent="0.35">
      <c r="A206" s="195"/>
      <c r="B206" s="195"/>
      <c r="C206" s="409"/>
      <c r="D206" s="408"/>
      <c r="E206" s="408"/>
      <c r="F206" s="408"/>
      <c r="G206" s="408"/>
      <c r="H206" s="408"/>
      <c r="I206" s="408"/>
      <c r="J206" s="408"/>
      <c r="K206" s="408"/>
      <c r="L206" s="410"/>
      <c r="M206" s="195"/>
      <c r="N206" s="195"/>
      <c r="O206" s="195"/>
      <c r="P206" s="49"/>
      <c r="Q206" s="49"/>
      <c r="R206" s="49"/>
      <c r="S206" s="49"/>
      <c r="T206" s="49"/>
      <c r="U206" s="49"/>
      <c r="V206" s="49"/>
      <c r="W206" s="49"/>
      <c r="X206" s="49"/>
    </row>
    <row r="207" spans="1:24" s="177" customFormat="1" ht="14.4" x14ac:dyDescent="0.3">
      <c r="A207" s="195"/>
      <c r="B207" s="195"/>
      <c r="C207" s="195"/>
      <c r="D207" s="195"/>
      <c r="E207" s="195"/>
      <c r="F207" s="195"/>
      <c r="G207" s="195"/>
      <c r="H207" s="195"/>
      <c r="I207" s="195"/>
      <c r="J207" s="195"/>
      <c r="K207" s="195"/>
      <c r="L207" s="195"/>
      <c r="M207" s="195"/>
      <c r="N207" s="195"/>
      <c r="O207" s="195"/>
      <c r="P207" s="49"/>
      <c r="Q207" s="49"/>
      <c r="R207" s="49"/>
      <c r="S207" s="49"/>
      <c r="T207" s="49"/>
      <c r="U207" s="49"/>
      <c r="V207" s="49"/>
      <c r="W207" s="49"/>
      <c r="X207" s="49"/>
    </row>
    <row r="208" spans="1:24" s="177" customFormat="1" ht="14.4" x14ac:dyDescent="0.3">
      <c r="A208" s="195"/>
      <c r="B208" s="195"/>
      <c r="C208" s="195"/>
      <c r="D208" s="195"/>
      <c r="E208" s="195"/>
      <c r="F208" s="195"/>
      <c r="G208" s="195"/>
      <c r="H208" s="195"/>
      <c r="I208" s="195"/>
      <c r="J208" s="195"/>
      <c r="K208" s="195"/>
      <c r="L208" s="195"/>
      <c r="M208" s="195"/>
      <c r="N208" s="195"/>
      <c r="O208" s="195"/>
      <c r="P208" s="49"/>
      <c r="Q208" s="49"/>
      <c r="R208" s="49"/>
      <c r="S208" s="49"/>
      <c r="T208" s="49"/>
      <c r="U208" s="49"/>
      <c r="V208" s="49"/>
      <c r="W208" s="49"/>
      <c r="X208" s="49"/>
    </row>
    <row r="209" spans="1:24" s="177" customFormat="1" ht="15" thickBot="1" x14ac:dyDescent="0.35">
      <c r="A209" s="195"/>
      <c r="B209" s="195"/>
      <c r="C209" s="195"/>
      <c r="D209" s="195"/>
      <c r="E209" s="195"/>
      <c r="F209" s="195"/>
      <c r="G209" s="195"/>
      <c r="H209" s="195"/>
      <c r="I209" s="195"/>
      <c r="J209" s="195"/>
      <c r="K209" s="195"/>
      <c r="L209" s="195"/>
      <c r="M209" s="195"/>
      <c r="N209" s="195"/>
      <c r="O209" s="195"/>
      <c r="P209" s="49"/>
      <c r="Q209" s="49"/>
      <c r="R209" s="49"/>
      <c r="S209" s="49"/>
      <c r="T209" s="49"/>
      <c r="U209" s="49"/>
      <c r="V209" s="49"/>
      <c r="W209" s="49"/>
      <c r="X209" s="49"/>
    </row>
    <row r="210" spans="1:24" s="177" customFormat="1" ht="23.4" x14ac:dyDescent="0.45">
      <c r="A210" s="195"/>
      <c r="B210" s="195"/>
      <c r="C210" s="188" t="s">
        <v>276</v>
      </c>
      <c r="D210" s="398"/>
      <c r="E210" s="398"/>
      <c r="F210" s="398"/>
      <c r="G210" s="398"/>
      <c r="H210" s="398"/>
      <c r="I210" s="398"/>
      <c r="J210" s="398"/>
      <c r="K210" s="398"/>
      <c r="L210" s="399"/>
      <c r="M210" s="195"/>
      <c r="N210" s="195"/>
      <c r="O210" s="195"/>
      <c r="P210" s="49"/>
      <c r="Q210" s="49"/>
      <c r="R210" s="49"/>
      <c r="S210" s="49"/>
      <c r="T210" s="49"/>
      <c r="U210" s="49"/>
      <c r="V210" s="49"/>
      <c r="W210" s="49"/>
      <c r="X210" s="49"/>
    </row>
    <row r="211" spans="1:24" s="177" customFormat="1" ht="14.4" x14ac:dyDescent="0.3">
      <c r="A211" s="195"/>
      <c r="B211" s="195"/>
      <c r="C211" s="400"/>
      <c r="D211" s="195"/>
      <c r="E211" s="195"/>
      <c r="F211" s="195"/>
      <c r="G211" s="195"/>
      <c r="H211" s="195"/>
      <c r="I211" s="195"/>
      <c r="J211" s="195"/>
      <c r="K211" s="49"/>
      <c r="L211" s="401"/>
      <c r="M211" s="195"/>
      <c r="N211" s="195"/>
      <c r="O211" s="195"/>
      <c r="P211" s="49"/>
      <c r="Q211" s="49"/>
      <c r="R211" s="49"/>
      <c r="S211" s="49"/>
      <c r="T211" s="49"/>
      <c r="U211" s="49"/>
      <c r="V211" s="49"/>
      <c r="W211" s="49"/>
      <c r="X211" s="49"/>
    </row>
    <row r="212" spans="1:24" s="177" customFormat="1" ht="15" thickBot="1" x14ac:dyDescent="0.35">
      <c r="A212" s="195"/>
      <c r="B212" s="195"/>
      <c r="C212" s="400"/>
      <c r="D212" s="195"/>
      <c r="E212" s="195"/>
      <c r="F212" s="195"/>
      <c r="G212" s="195"/>
      <c r="H212" s="195"/>
      <c r="I212" s="195"/>
      <c r="J212" s="195"/>
      <c r="K212" s="195"/>
      <c r="L212" s="401"/>
      <c r="M212" s="195"/>
      <c r="N212" s="195"/>
      <c r="O212" s="195"/>
      <c r="P212" s="49"/>
      <c r="Q212" s="49"/>
      <c r="R212" s="49"/>
      <c r="S212" s="49"/>
      <c r="T212" s="49"/>
      <c r="U212" s="49"/>
      <c r="V212" s="49"/>
      <c r="W212" s="49"/>
      <c r="X212" s="49"/>
    </row>
    <row r="213" spans="1:24" s="177" customFormat="1" ht="28.8" x14ac:dyDescent="0.3">
      <c r="A213" s="195"/>
      <c r="B213" s="195"/>
      <c r="C213" s="400"/>
      <c r="D213" s="195"/>
      <c r="E213" s="195"/>
      <c r="F213" s="195"/>
      <c r="G213" s="216" t="s">
        <v>222</v>
      </c>
      <c r="H213" s="216" t="s">
        <v>223</v>
      </c>
      <c r="I213" s="216" t="s">
        <v>224</v>
      </c>
      <c r="J213" s="195"/>
      <c r="K213" s="195"/>
      <c r="L213" s="401"/>
      <c r="M213" s="253"/>
      <c r="N213" s="195"/>
      <c r="O213" s="195"/>
      <c r="P213" s="49"/>
      <c r="Q213" s="49"/>
      <c r="R213" s="49"/>
      <c r="S213" s="49"/>
      <c r="T213" s="49"/>
      <c r="U213" s="49"/>
      <c r="V213" s="49"/>
      <c r="W213" s="49"/>
      <c r="X213" s="49"/>
    </row>
    <row r="214" spans="1:24" s="177" customFormat="1" ht="14.4" x14ac:dyDescent="0.3">
      <c r="A214" s="195"/>
      <c r="B214" s="195"/>
      <c r="C214" s="400"/>
      <c r="D214" s="195"/>
      <c r="E214" s="217" t="s">
        <v>277</v>
      </c>
      <c r="F214" s="49"/>
      <c r="G214" s="218">
        <f>J227</f>
        <v>7680</v>
      </c>
      <c r="H214" s="218">
        <f>G214*$G$3</f>
        <v>15360</v>
      </c>
      <c r="I214" s="218">
        <f>H214*52/12</f>
        <v>66560</v>
      </c>
      <c r="J214" s="195"/>
      <c r="K214" s="195"/>
      <c r="L214" s="401"/>
      <c r="M214" s="253"/>
      <c r="N214" s="195"/>
      <c r="O214" s="195"/>
      <c r="P214" s="49"/>
      <c r="Q214" s="49"/>
      <c r="R214" s="49"/>
      <c r="S214" s="49"/>
      <c r="T214" s="49"/>
      <c r="U214" s="49"/>
      <c r="V214" s="49"/>
      <c r="W214" s="49"/>
      <c r="X214" s="49"/>
    </row>
    <row r="215" spans="1:24" s="177" customFormat="1" ht="14.4" x14ac:dyDescent="0.3">
      <c r="A215" s="195"/>
      <c r="B215" s="195"/>
      <c r="C215" s="400"/>
      <c r="D215" s="195"/>
      <c r="E215" s="219" t="s">
        <v>225</v>
      </c>
      <c r="F215" s="49"/>
      <c r="G215" s="220" t="str">
        <f>VLOOKUP(G214,FabricMapping!$C$11:$F$21,4,1)</f>
        <v>F8</v>
      </c>
      <c r="H215" s="220" t="str">
        <f>VLOOKUP(H214,FabricMapping!$D$11:$F$21,3,1)</f>
        <v>F2</v>
      </c>
      <c r="I215" s="220" t="str">
        <f>VLOOKUP(I214,FabricMapping!$E$11:$F$21,2,1)</f>
        <v>F2</v>
      </c>
      <c r="J215" s="195"/>
      <c r="K215" s="195"/>
      <c r="L215" s="401"/>
      <c r="M215" s="195"/>
      <c r="N215" s="195"/>
      <c r="O215" s="195"/>
      <c r="P215" s="49"/>
      <c r="Q215" s="49"/>
      <c r="R215" s="49"/>
      <c r="S215" s="49"/>
      <c r="T215" s="49"/>
      <c r="U215" s="49"/>
      <c r="V215" s="49"/>
      <c r="W215" s="49"/>
      <c r="X215" s="49"/>
    </row>
    <row r="216" spans="1:24" s="177" customFormat="1" ht="14.4" x14ac:dyDescent="0.3">
      <c r="A216" s="195"/>
      <c r="B216" s="195"/>
      <c r="C216" s="400"/>
      <c r="D216" s="195"/>
      <c r="E216" s="219" t="s">
        <v>226</v>
      </c>
      <c r="F216" s="49"/>
      <c r="G216" s="218">
        <f>VLOOKUP(G215,FabricMapping!$F$10:$J$21,3,0)</f>
        <v>11520</v>
      </c>
      <c r="H216" s="218">
        <f>VLOOKUP(H215,FabricMapping!$F$10:$J$21,4,0)</f>
        <v>20160</v>
      </c>
      <c r="I216" s="218">
        <f>VLOOKUP(I215,FabricMapping!$F$10:$J$21,5,0)</f>
        <v>87360</v>
      </c>
      <c r="J216" s="195"/>
      <c r="K216" s="195"/>
      <c r="L216" s="401"/>
      <c r="M216" s="195"/>
      <c r="N216" s="195"/>
      <c r="O216" s="195"/>
      <c r="P216" s="49"/>
      <c r="Q216" s="49"/>
      <c r="R216" s="49"/>
      <c r="S216" s="49"/>
      <c r="T216" s="49"/>
      <c r="U216" s="49"/>
      <c r="V216" s="49"/>
      <c r="W216" s="49"/>
      <c r="X216" s="49"/>
    </row>
    <row r="217" spans="1:24" s="177" customFormat="1" ht="14.4" hidden="1" x14ac:dyDescent="0.3">
      <c r="A217" s="195"/>
      <c r="B217" s="195"/>
      <c r="C217" s="400"/>
      <c r="D217" s="195"/>
      <c r="E217" s="219" t="s">
        <v>227</v>
      </c>
      <c r="F217" s="49"/>
      <c r="G217" s="222">
        <f>G216*Cost_Setup!$F$7/60</f>
        <v>34.559999999999995</v>
      </c>
      <c r="H217" s="222">
        <f>H216*Cost_Setup!$F$7/60</f>
        <v>60.48</v>
      </c>
      <c r="I217" s="222">
        <f>I216*Cost_Setup!$F$7/60</f>
        <v>262.08</v>
      </c>
      <c r="J217" s="195"/>
      <c r="K217" s="195"/>
      <c r="L217" s="401"/>
      <c r="M217" s="195"/>
      <c r="N217" s="195"/>
      <c r="O217" s="195"/>
      <c r="P217" s="49"/>
      <c r="Q217" s="49"/>
      <c r="R217" s="49"/>
      <c r="S217" s="49"/>
      <c r="T217" s="49"/>
      <c r="U217" s="49"/>
      <c r="V217" s="49"/>
      <c r="W217" s="49"/>
      <c r="X217" s="49"/>
    </row>
    <row r="218" spans="1:24" s="177" customFormat="1" ht="14.4" x14ac:dyDescent="0.3">
      <c r="A218" s="195"/>
      <c r="B218" s="195"/>
      <c r="C218" s="400"/>
      <c r="D218" s="195"/>
      <c r="E218" s="219" t="s">
        <v>228</v>
      </c>
      <c r="F218" s="49"/>
      <c r="G218" s="223">
        <f>G214/G216</f>
        <v>0.66666666666666663</v>
      </c>
      <c r="H218" s="223">
        <f t="shared" ref="H218:I218" si="9">H214/H216</f>
        <v>0.76190476190476186</v>
      </c>
      <c r="I218" s="223">
        <f t="shared" si="9"/>
        <v>0.76190476190476186</v>
      </c>
      <c r="J218" s="195"/>
      <c r="K218" s="195"/>
      <c r="L218" s="401"/>
      <c r="M218" s="195"/>
      <c r="N218" s="195"/>
      <c r="O218" s="195"/>
      <c r="P218" s="49"/>
      <c r="Q218" s="49"/>
      <c r="R218" s="49"/>
      <c r="S218" s="49"/>
      <c r="T218" s="49"/>
      <c r="U218" s="49"/>
      <c r="V218" s="49"/>
      <c r="W218" s="49"/>
      <c r="X218" s="49"/>
    </row>
    <row r="219" spans="1:24" s="177" customFormat="1" ht="14.4" x14ac:dyDescent="0.3">
      <c r="A219" s="195"/>
      <c r="B219" s="195"/>
      <c r="C219" s="400"/>
      <c r="D219" s="195"/>
      <c r="E219" s="49"/>
      <c r="F219" s="49"/>
      <c r="G219" s="49"/>
      <c r="H219" s="49"/>
      <c r="I219" s="49"/>
      <c r="J219" s="195"/>
      <c r="K219" s="195"/>
      <c r="L219" s="401"/>
      <c r="M219" s="195"/>
      <c r="N219" s="195"/>
      <c r="O219" s="195"/>
      <c r="P219" s="49"/>
      <c r="Q219" s="49"/>
      <c r="R219" s="49"/>
      <c r="S219" s="49"/>
      <c r="T219" s="49"/>
      <c r="U219" s="49"/>
      <c r="V219" s="49"/>
      <c r="W219" s="49"/>
      <c r="X219" s="49"/>
    </row>
    <row r="220" spans="1:24" s="177" customFormat="1" ht="14.4" x14ac:dyDescent="0.3">
      <c r="A220" s="195"/>
      <c r="B220" s="195"/>
      <c r="C220" s="400"/>
      <c r="D220" s="195"/>
      <c r="E220" s="195"/>
      <c r="F220" s="49"/>
      <c r="G220" s="195"/>
      <c r="H220" s="49"/>
      <c r="I220" s="195"/>
      <c r="J220" s="49"/>
      <c r="K220" s="195"/>
      <c r="L220" s="401"/>
      <c r="M220" s="195"/>
      <c r="N220" s="195"/>
      <c r="O220" s="195"/>
      <c r="P220" s="49"/>
      <c r="Q220" s="49"/>
      <c r="R220" s="49"/>
      <c r="S220" s="49"/>
      <c r="T220" s="49"/>
      <c r="U220" s="49"/>
      <c r="V220" s="49"/>
      <c r="W220" s="49"/>
      <c r="X220" s="49"/>
    </row>
    <row r="221" spans="1:24" s="177" customFormat="1" ht="14.4" x14ac:dyDescent="0.3">
      <c r="A221" s="195"/>
      <c r="B221" s="195"/>
      <c r="C221" s="400"/>
      <c r="D221" s="195"/>
      <c r="E221" s="219" t="s">
        <v>225</v>
      </c>
      <c r="F221" s="49"/>
      <c r="G221" s="254" t="str">
        <f>G215</f>
        <v>F8</v>
      </c>
      <c r="H221" s="255">
        <f>VLOOKUP(G221,FabricMapping!$F$11:$L$21,6,0)</f>
        <v>1052</v>
      </c>
      <c r="I221" s="195"/>
      <c r="J221" s="195"/>
      <c r="K221" s="195"/>
      <c r="L221" s="401"/>
      <c r="M221" s="195"/>
      <c r="N221" s="195"/>
      <c r="O221" s="195"/>
      <c r="P221" s="49"/>
      <c r="Q221" s="49"/>
      <c r="R221" s="49"/>
      <c r="S221" s="49"/>
      <c r="T221" s="49"/>
      <c r="U221" s="49"/>
      <c r="V221" s="49"/>
      <c r="W221" s="49"/>
      <c r="X221" s="49"/>
    </row>
    <row r="222" spans="1:24" s="177" customFormat="1" ht="14.4" x14ac:dyDescent="0.3">
      <c r="A222" s="195"/>
      <c r="B222" s="195"/>
      <c r="C222" s="400"/>
      <c r="D222" s="195"/>
      <c r="E222" s="219" t="s">
        <v>278</v>
      </c>
      <c r="F222" s="49"/>
      <c r="G222" s="254">
        <f>IF(IF(_xlfn.NUMBERVALUE(RIGHT(G221,LEN(G221)-1))&lt;64,($G$12+$G$15)-$G$14,($G$12-$G$14))*FabricMapping!$J$80&lt;0,0,IF(_xlfn.NUMBERVALUE(RIGHT(G221,LEN(G221)-1))&lt;64,($G$12+$G$15)-$G$14,($G$12-$G$14))*FabricMapping!$J$80)</f>
        <v>750</v>
      </c>
      <c r="H222" s="255">
        <f>$G$222*Cost_Setup!$G$7</f>
        <v>7500</v>
      </c>
      <c r="I222" s="204"/>
      <c r="J222" s="195"/>
      <c r="K222" s="195"/>
      <c r="L222" s="401"/>
      <c r="M222" s="195"/>
      <c r="N222" s="195"/>
      <c r="O222" s="195"/>
      <c r="P222" s="49"/>
      <c r="Q222" s="49"/>
      <c r="R222" s="49"/>
      <c r="S222" s="49"/>
      <c r="T222" s="49"/>
      <c r="U222" s="49"/>
      <c r="V222" s="49"/>
      <c r="W222" s="49"/>
      <c r="X222" s="49"/>
    </row>
    <row r="223" spans="1:24" s="177" customFormat="1" ht="14.4" x14ac:dyDescent="0.3">
      <c r="A223" s="195"/>
      <c r="B223" s="195"/>
      <c r="C223" s="400"/>
      <c r="D223" s="195"/>
      <c r="E223" s="195"/>
      <c r="F223" s="195"/>
      <c r="G223" s="195"/>
      <c r="H223" s="195"/>
      <c r="I223" s="195"/>
      <c r="J223" s="195"/>
      <c r="K223" s="195"/>
      <c r="L223" s="401"/>
      <c r="M223" s="195"/>
      <c r="N223" s="195"/>
      <c r="O223" s="195"/>
      <c r="P223" s="49"/>
      <c r="Q223" s="49"/>
      <c r="R223" s="49"/>
      <c r="S223" s="49"/>
      <c r="T223" s="49"/>
      <c r="U223" s="49"/>
      <c r="V223" s="49"/>
      <c r="W223" s="49"/>
      <c r="X223" s="49"/>
    </row>
    <row r="224" spans="1:24" s="177" customFormat="1" ht="15" thickBot="1" x14ac:dyDescent="0.35">
      <c r="A224" s="195"/>
      <c r="B224" s="195"/>
      <c r="C224" s="400"/>
      <c r="D224" s="195"/>
      <c r="E224" s="195"/>
      <c r="F224" s="195"/>
      <c r="G224" s="195"/>
      <c r="H224" s="195"/>
      <c r="I224" s="195"/>
      <c r="J224" s="195"/>
      <c r="K224" s="195"/>
      <c r="L224" s="401"/>
      <c r="M224" s="195"/>
      <c r="N224" s="195"/>
      <c r="O224" s="195"/>
      <c r="P224" s="49"/>
      <c r="Q224" s="49"/>
      <c r="R224" s="49"/>
      <c r="S224" s="49"/>
      <c r="T224" s="49"/>
      <c r="U224" s="49"/>
      <c r="V224" s="49"/>
      <c r="W224" s="49"/>
      <c r="X224" s="49"/>
    </row>
    <row r="225" spans="1:24" s="177" customFormat="1" ht="14.4" x14ac:dyDescent="0.3">
      <c r="A225" s="195"/>
      <c r="B225" s="195"/>
      <c r="C225" s="400"/>
      <c r="D225" s="195"/>
      <c r="E225" s="561" t="s">
        <v>279</v>
      </c>
      <c r="F225" s="195"/>
      <c r="G225" s="563" t="s">
        <v>277</v>
      </c>
      <c r="H225" s="564"/>
      <c r="I225" s="564"/>
      <c r="J225" s="564"/>
      <c r="K225" s="565"/>
      <c r="L225" s="401"/>
      <c r="M225" s="195"/>
      <c r="N225" s="195"/>
      <c r="O225" s="195"/>
      <c r="P225" s="49"/>
      <c r="Q225" s="49"/>
      <c r="R225" s="49"/>
      <c r="S225" s="49"/>
      <c r="T225" s="49"/>
      <c r="U225" s="49"/>
      <c r="V225" s="49"/>
      <c r="W225" s="49"/>
      <c r="X225" s="49"/>
    </row>
    <row r="226" spans="1:24" s="177" customFormat="1" ht="14.4" x14ac:dyDescent="0.3">
      <c r="A226" s="195"/>
      <c r="B226" s="195"/>
      <c r="C226" s="400"/>
      <c r="D226" s="195"/>
      <c r="E226" s="561"/>
      <c r="F226" s="195"/>
      <c r="G226" s="566" t="s">
        <v>280</v>
      </c>
      <c r="H226" s="567"/>
      <c r="I226" s="567"/>
      <c r="J226" s="567" t="s">
        <v>248</v>
      </c>
      <c r="K226" s="568"/>
      <c r="L226" s="401"/>
      <c r="M226" s="195"/>
      <c r="N226" s="195"/>
      <c r="O226" s="195"/>
      <c r="P226" s="49"/>
      <c r="Q226" s="49"/>
      <c r="R226" s="49"/>
      <c r="S226" s="49"/>
      <c r="T226" s="49"/>
      <c r="U226" s="49"/>
      <c r="V226" s="49"/>
      <c r="W226" s="49"/>
      <c r="X226" s="49"/>
    </row>
    <row r="227" spans="1:24" s="177" customFormat="1" ht="15" thickBot="1" x14ac:dyDescent="0.35">
      <c r="A227" s="195"/>
      <c r="B227" s="195"/>
      <c r="C227" s="400"/>
      <c r="D227" s="195"/>
      <c r="E227" s="561"/>
      <c r="F227" s="195"/>
      <c r="G227" s="569">
        <f>$G$19*60</f>
        <v>480</v>
      </c>
      <c r="H227" s="570"/>
      <c r="I227" s="570"/>
      <c r="J227" s="570">
        <f>G227*(FabricMapping!$AN$30*($G$15))</f>
        <v>7680</v>
      </c>
      <c r="K227" s="571"/>
      <c r="L227" s="401"/>
      <c r="M227" s="204"/>
      <c r="N227" s="228"/>
      <c r="O227" s="195"/>
      <c r="P227" s="49"/>
      <c r="Q227" s="49"/>
      <c r="R227" s="49"/>
      <c r="S227" s="49"/>
      <c r="T227" s="49"/>
      <c r="U227" s="49"/>
      <c r="V227" s="49"/>
      <c r="W227" s="49"/>
      <c r="X227" s="49"/>
    </row>
    <row r="228" spans="1:24" s="177" customFormat="1" ht="15" thickBot="1" x14ac:dyDescent="0.35">
      <c r="A228" s="195"/>
      <c r="B228" s="195"/>
      <c r="C228" s="400"/>
      <c r="D228" s="195"/>
      <c r="E228" s="195"/>
      <c r="F228" s="195"/>
      <c r="G228" s="195"/>
      <c r="H228" s="195"/>
      <c r="I228" s="195"/>
      <c r="J228" s="195"/>
      <c r="K228" s="195"/>
      <c r="L228" s="401"/>
      <c r="M228" s="253"/>
      <c r="N228" s="195"/>
      <c r="O228" s="195"/>
      <c r="P228" s="49"/>
      <c r="Q228" s="49"/>
      <c r="R228" s="49"/>
      <c r="S228" s="49"/>
      <c r="T228" s="49"/>
      <c r="U228" s="49"/>
      <c r="V228" s="49"/>
      <c r="W228" s="49"/>
      <c r="X228" s="49"/>
    </row>
    <row r="229" spans="1:24" s="177" customFormat="1" ht="28.8" x14ac:dyDescent="0.3">
      <c r="A229" s="195"/>
      <c r="B229" s="195"/>
      <c r="C229" s="400"/>
      <c r="D229" s="195"/>
      <c r="E229" s="195"/>
      <c r="F229" s="195"/>
      <c r="G229" s="216" t="s">
        <v>222</v>
      </c>
      <c r="H229" s="216" t="s">
        <v>223</v>
      </c>
      <c r="I229" s="216" t="s">
        <v>224</v>
      </c>
      <c r="J229" s="195"/>
      <c r="K229" s="195"/>
      <c r="L229" s="401"/>
      <c r="M229" s="256"/>
      <c r="N229" s="195"/>
      <c r="O229" s="195"/>
      <c r="P229" s="49"/>
      <c r="Q229" s="49"/>
      <c r="R229" s="49"/>
      <c r="S229" s="49"/>
      <c r="T229" s="49"/>
      <c r="U229" s="49"/>
      <c r="V229" s="49"/>
      <c r="W229" s="49"/>
      <c r="X229" s="49"/>
    </row>
    <row r="230" spans="1:24" s="177" customFormat="1" ht="14.4" x14ac:dyDescent="0.3">
      <c r="A230" s="195"/>
      <c r="B230" s="195"/>
      <c r="C230" s="400"/>
      <c r="D230" s="195"/>
      <c r="E230" s="217" t="s">
        <v>277</v>
      </c>
      <c r="F230" s="49"/>
      <c r="G230" s="218">
        <f>J243</f>
        <v>15360.000000000002</v>
      </c>
      <c r="H230" s="218">
        <f>G230*$G$3</f>
        <v>30720.000000000004</v>
      </c>
      <c r="I230" s="218">
        <f>H230*52/12</f>
        <v>133120.00000000003</v>
      </c>
      <c r="J230" s="195"/>
      <c r="K230" s="195"/>
      <c r="L230" s="401"/>
      <c r="M230" s="195"/>
      <c r="N230" s="195"/>
      <c r="O230" s="195"/>
      <c r="P230" s="49"/>
      <c r="Q230" s="49"/>
      <c r="R230" s="49"/>
      <c r="S230" s="49"/>
      <c r="T230" s="49"/>
      <c r="U230" s="49"/>
      <c r="V230" s="49"/>
      <c r="W230" s="49"/>
      <c r="X230" s="49"/>
    </row>
    <row r="231" spans="1:24" s="177" customFormat="1" ht="14.4" x14ac:dyDescent="0.3">
      <c r="A231" s="195"/>
      <c r="B231" s="195"/>
      <c r="C231" s="400"/>
      <c r="D231" s="195"/>
      <c r="E231" s="219" t="s">
        <v>225</v>
      </c>
      <c r="F231" s="49"/>
      <c r="G231" s="220" t="str">
        <f>VLOOKUP(G230,FabricMapping!$C$11:$F$21,4,1)</f>
        <v>F16</v>
      </c>
      <c r="H231" s="220" t="str">
        <f>VLOOKUP(H230,FabricMapping!$D$11:$F$21,3,1)</f>
        <v>F4</v>
      </c>
      <c r="I231" s="220" t="str">
        <f>VLOOKUP(I230,FabricMapping!$E$11:$F$21,2,1)</f>
        <v>F4</v>
      </c>
      <c r="J231" s="195"/>
      <c r="K231" s="195"/>
      <c r="L231" s="401"/>
      <c r="M231" s="195"/>
      <c r="N231" s="195"/>
      <c r="O231" s="195"/>
      <c r="P231" s="49"/>
      <c r="Q231" s="49"/>
      <c r="R231" s="49"/>
      <c r="S231" s="49"/>
      <c r="T231" s="49"/>
      <c r="U231" s="49"/>
      <c r="V231" s="49"/>
      <c r="W231" s="49"/>
      <c r="X231" s="49"/>
    </row>
    <row r="232" spans="1:24" s="177" customFormat="1" ht="14.4" x14ac:dyDescent="0.3">
      <c r="A232" s="195"/>
      <c r="B232" s="195"/>
      <c r="C232" s="400"/>
      <c r="D232" s="195"/>
      <c r="E232" s="219" t="s">
        <v>226</v>
      </c>
      <c r="F232" s="49"/>
      <c r="G232" s="218">
        <f>VLOOKUP(G231,FabricMapping!$F$10:$J$21,3,0)</f>
        <v>23040</v>
      </c>
      <c r="H232" s="218">
        <f>VLOOKUP(H231,FabricMapping!$F$10:$J$21,4,0)</f>
        <v>40320</v>
      </c>
      <c r="I232" s="218">
        <f>VLOOKUP(I231,FabricMapping!$F$10:$J$21,5,0)</f>
        <v>174720</v>
      </c>
      <c r="J232" s="195"/>
      <c r="K232" s="195"/>
      <c r="L232" s="401"/>
      <c r="M232" s="195"/>
      <c r="N232" s="195"/>
      <c r="O232" s="195"/>
      <c r="P232" s="49"/>
      <c r="Q232" s="49"/>
      <c r="R232" s="49"/>
      <c r="S232" s="49"/>
      <c r="T232" s="49"/>
      <c r="U232" s="49"/>
      <c r="V232" s="49"/>
      <c r="W232" s="49"/>
      <c r="X232" s="49"/>
    </row>
    <row r="233" spans="1:24" s="177" customFormat="1" ht="14.4" hidden="1" x14ac:dyDescent="0.3">
      <c r="A233" s="195"/>
      <c r="B233" s="195"/>
      <c r="C233" s="400"/>
      <c r="D233" s="195"/>
      <c r="E233" s="219" t="s">
        <v>227</v>
      </c>
      <c r="F233" s="49"/>
      <c r="G233" s="222">
        <f>G232*Cost_Setup!$F$7/60</f>
        <v>69.11999999999999</v>
      </c>
      <c r="H233" s="222">
        <f>H232*Cost_Setup!$F$7/60</f>
        <v>120.96</v>
      </c>
      <c r="I233" s="222">
        <f>I232*Cost_Setup!$F$7/60</f>
        <v>524.16</v>
      </c>
      <c r="J233" s="195"/>
      <c r="K233" s="195"/>
      <c r="L233" s="401"/>
      <c r="M233" s="195"/>
      <c r="N233" s="195"/>
      <c r="O233" s="195"/>
      <c r="P233" s="49"/>
      <c r="Q233" s="49"/>
      <c r="R233" s="49"/>
      <c r="S233" s="49"/>
      <c r="T233" s="49"/>
      <c r="U233" s="49"/>
      <c r="V233" s="49"/>
      <c r="W233" s="49"/>
      <c r="X233" s="49"/>
    </row>
    <row r="234" spans="1:24" s="177" customFormat="1" ht="14.4" x14ac:dyDescent="0.3">
      <c r="A234" s="195"/>
      <c r="B234" s="195"/>
      <c r="C234" s="400"/>
      <c r="D234" s="195"/>
      <c r="E234" s="219" t="s">
        <v>228</v>
      </c>
      <c r="F234" s="49"/>
      <c r="G234" s="223">
        <f>G230/G232</f>
        <v>0.66666666666666674</v>
      </c>
      <c r="H234" s="223">
        <f t="shared" ref="H234:I234" si="10">H230/H232</f>
        <v>0.76190476190476197</v>
      </c>
      <c r="I234" s="223">
        <f t="shared" si="10"/>
        <v>0.76190476190476208</v>
      </c>
      <c r="J234" s="195"/>
      <c r="K234" s="195"/>
      <c r="L234" s="401"/>
      <c r="M234" s="195"/>
      <c r="N234" s="195"/>
      <c r="O234" s="195"/>
      <c r="P234" s="49"/>
      <c r="Q234" s="49"/>
      <c r="R234" s="49"/>
      <c r="S234" s="49"/>
      <c r="T234" s="49"/>
      <c r="U234" s="49"/>
      <c r="V234" s="49"/>
      <c r="W234" s="49"/>
      <c r="X234" s="49"/>
    </row>
    <row r="235" spans="1:24" s="177" customFormat="1" ht="14.4" x14ac:dyDescent="0.3">
      <c r="A235" s="195"/>
      <c r="B235" s="195"/>
      <c r="C235" s="400"/>
      <c r="D235" s="195"/>
      <c r="E235" s="49"/>
      <c r="F235" s="49"/>
      <c r="G235" s="49"/>
      <c r="H235" s="49"/>
      <c r="I235" s="49"/>
      <c r="J235" s="195"/>
      <c r="K235" s="195"/>
      <c r="L235" s="401"/>
      <c r="M235" s="195"/>
      <c r="N235" s="195"/>
      <c r="O235" s="195"/>
      <c r="P235" s="49"/>
      <c r="Q235" s="49"/>
      <c r="R235" s="49"/>
      <c r="S235" s="49"/>
      <c r="T235" s="49"/>
      <c r="U235" s="49"/>
      <c r="V235" s="49"/>
      <c r="W235" s="49"/>
      <c r="X235" s="49"/>
    </row>
    <row r="236" spans="1:24" s="177" customFormat="1" ht="14.4" x14ac:dyDescent="0.3">
      <c r="A236" s="195"/>
      <c r="B236" s="195"/>
      <c r="C236" s="400"/>
      <c r="D236" s="195"/>
      <c r="E236" s="195"/>
      <c r="F236" s="49"/>
      <c r="G236" s="195"/>
      <c r="H236" s="49"/>
      <c r="I236" s="195"/>
      <c r="J236" s="195"/>
      <c r="K236" s="195"/>
      <c r="L236" s="401"/>
      <c r="M236" s="195"/>
      <c r="N236" s="195"/>
      <c r="O236" s="195"/>
      <c r="P236" s="49"/>
      <c r="Q236" s="49"/>
      <c r="R236" s="49"/>
      <c r="S236" s="49"/>
      <c r="T236" s="49"/>
      <c r="U236" s="49"/>
      <c r="V236" s="49"/>
      <c r="W236" s="49"/>
      <c r="X236" s="49"/>
    </row>
    <row r="237" spans="1:24" s="177" customFormat="1" ht="14.4" x14ac:dyDescent="0.3">
      <c r="A237" s="195"/>
      <c r="B237" s="195"/>
      <c r="C237" s="400"/>
      <c r="D237" s="195"/>
      <c r="E237" s="219" t="s">
        <v>225</v>
      </c>
      <c r="F237" s="49"/>
      <c r="G237" s="254" t="str">
        <f>G231</f>
        <v>F16</v>
      </c>
      <c r="H237" s="255">
        <f>VLOOKUP(G237,FabricMapping!$F$11:$L$21,6,0)</f>
        <v>2103</v>
      </c>
      <c r="I237" s="195"/>
      <c r="J237" s="195"/>
      <c r="K237" s="195"/>
      <c r="L237" s="401"/>
      <c r="M237" s="195"/>
      <c r="N237" s="195"/>
      <c r="O237" s="195"/>
      <c r="P237" s="49"/>
      <c r="Q237" s="49"/>
      <c r="R237" s="49"/>
      <c r="S237" s="49"/>
      <c r="T237" s="49"/>
      <c r="U237" s="49"/>
      <c r="V237" s="49"/>
      <c r="W237" s="49"/>
      <c r="X237" s="49"/>
    </row>
    <row r="238" spans="1:24" s="177" customFormat="1" ht="8.25" customHeight="1" x14ac:dyDescent="0.3">
      <c r="A238" s="195"/>
      <c r="B238" s="195"/>
      <c r="C238" s="400"/>
      <c r="D238" s="195"/>
      <c r="E238" s="49"/>
      <c r="F238" s="49"/>
      <c r="G238" s="49"/>
      <c r="H238" s="49"/>
      <c r="I238" s="195"/>
      <c r="J238" s="195"/>
      <c r="K238" s="195"/>
      <c r="L238" s="401"/>
      <c r="M238" s="195"/>
      <c r="N238" s="195"/>
      <c r="O238" s="195"/>
      <c r="P238" s="49"/>
      <c r="Q238" s="49"/>
      <c r="R238" s="49"/>
      <c r="S238" s="49"/>
      <c r="T238" s="49"/>
      <c r="U238" s="49"/>
      <c r="V238" s="49"/>
      <c r="W238" s="49"/>
      <c r="X238" s="49"/>
    </row>
    <row r="239" spans="1:24" s="177" customFormat="1" ht="8.25" customHeight="1" x14ac:dyDescent="0.3">
      <c r="A239" s="195"/>
      <c r="B239" s="195"/>
      <c r="C239" s="400"/>
      <c r="D239" s="195"/>
      <c r="E239" s="195"/>
      <c r="F239" s="195"/>
      <c r="G239" s="195"/>
      <c r="H239" s="195"/>
      <c r="I239" s="195"/>
      <c r="J239" s="195"/>
      <c r="K239" s="195"/>
      <c r="L239" s="401"/>
      <c r="M239" s="195"/>
      <c r="N239" s="195"/>
      <c r="O239" s="195"/>
      <c r="P239" s="49"/>
      <c r="Q239" s="49"/>
      <c r="R239" s="49"/>
      <c r="S239" s="49"/>
      <c r="T239" s="49"/>
      <c r="U239" s="49"/>
      <c r="V239" s="49"/>
      <c r="W239" s="49"/>
      <c r="X239" s="49"/>
    </row>
    <row r="240" spans="1:24" s="177" customFormat="1" ht="8.25" customHeight="1" thickBot="1" x14ac:dyDescent="0.35">
      <c r="A240" s="195"/>
      <c r="B240" s="195"/>
      <c r="C240" s="400"/>
      <c r="D240" s="195"/>
      <c r="E240" s="195"/>
      <c r="F240" s="195"/>
      <c r="G240" s="195"/>
      <c r="H240" s="195"/>
      <c r="I240" s="195"/>
      <c r="J240" s="195"/>
      <c r="K240" s="195"/>
      <c r="L240" s="401"/>
      <c r="M240" s="195"/>
      <c r="N240" s="195"/>
      <c r="O240" s="195"/>
      <c r="P240" s="49"/>
      <c r="Q240" s="49"/>
      <c r="R240" s="49"/>
      <c r="S240" s="49"/>
      <c r="T240" s="49"/>
      <c r="U240" s="49"/>
      <c r="V240" s="49"/>
      <c r="W240" s="49"/>
      <c r="X240" s="49"/>
    </row>
    <row r="241" spans="1:24" s="177" customFormat="1" ht="14.4" x14ac:dyDescent="0.3">
      <c r="A241" s="195"/>
      <c r="B241" s="195"/>
      <c r="C241" s="400"/>
      <c r="D241" s="195"/>
      <c r="E241" s="561" t="s">
        <v>146</v>
      </c>
      <c r="F241" s="195"/>
      <c r="G241" s="563" t="s">
        <v>281</v>
      </c>
      <c r="H241" s="564"/>
      <c r="I241" s="564"/>
      <c r="J241" s="564"/>
      <c r="K241" s="565"/>
      <c r="L241" s="401"/>
      <c r="M241" s="195"/>
      <c r="N241" s="195"/>
      <c r="O241" s="195"/>
      <c r="P241" s="49"/>
      <c r="Q241" s="49"/>
      <c r="R241" s="49"/>
      <c r="S241" s="49"/>
      <c r="T241" s="49"/>
      <c r="U241" s="49"/>
      <c r="V241" s="49"/>
      <c r="W241" s="49"/>
      <c r="X241" s="49"/>
    </row>
    <row r="242" spans="1:24" s="177" customFormat="1" ht="14.4" x14ac:dyDescent="0.3">
      <c r="A242" s="195"/>
      <c r="B242" s="195"/>
      <c r="C242" s="400"/>
      <c r="D242" s="195"/>
      <c r="E242" s="561"/>
      <c r="F242" s="195"/>
      <c r="G242" s="566" t="s">
        <v>280</v>
      </c>
      <c r="H242" s="567"/>
      <c r="I242" s="567"/>
      <c r="J242" s="567" t="s">
        <v>248</v>
      </c>
      <c r="K242" s="568"/>
      <c r="L242" s="401"/>
      <c r="M242" s="195"/>
      <c r="N242" s="195"/>
      <c r="O242" s="195"/>
      <c r="P242" s="49"/>
      <c r="Q242" s="49"/>
      <c r="R242" s="49"/>
      <c r="S242" s="49"/>
      <c r="T242" s="49"/>
      <c r="U242" s="49"/>
      <c r="V242" s="49"/>
      <c r="W242" s="49"/>
      <c r="X242" s="49"/>
    </row>
    <row r="243" spans="1:24" s="177" customFormat="1" ht="15" thickBot="1" x14ac:dyDescent="0.35">
      <c r="A243" s="195"/>
      <c r="B243" s="195"/>
      <c r="C243" s="400"/>
      <c r="D243" s="195"/>
      <c r="E243" s="561"/>
      <c r="F243" s="195"/>
      <c r="G243" s="569">
        <f>$G$18*60</f>
        <v>720</v>
      </c>
      <c r="H243" s="570"/>
      <c r="I243" s="570"/>
      <c r="J243" s="570">
        <f>G243*FabricMapping!$AN$42*$G$17</f>
        <v>15360.000000000002</v>
      </c>
      <c r="K243" s="571"/>
      <c r="L243" s="401"/>
      <c r="M243" s="195"/>
      <c r="N243" s="195"/>
      <c r="O243" s="195"/>
      <c r="P243" s="49"/>
      <c r="Q243" s="49"/>
      <c r="R243" s="49"/>
      <c r="S243" s="49"/>
      <c r="T243" s="49"/>
      <c r="U243" s="49"/>
      <c r="V243" s="49"/>
      <c r="W243" s="49"/>
      <c r="X243" s="49"/>
    </row>
    <row r="244" spans="1:24" s="177" customFormat="1" ht="14.4" x14ac:dyDescent="0.3">
      <c r="A244" s="195"/>
      <c r="B244" s="195"/>
      <c r="C244" s="400"/>
      <c r="D244" s="195"/>
      <c r="E244" s="195"/>
      <c r="F244" s="195"/>
      <c r="G244" s="195"/>
      <c r="H244" s="195"/>
      <c r="I244" s="195"/>
      <c r="J244" s="195"/>
      <c r="K244" s="195"/>
      <c r="L244" s="401"/>
      <c r="M244" s="195"/>
      <c r="N244" s="195"/>
      <c r="O244" s="195"/>
      <c r="P244" s="49"/>
      <c r="Q244" s="49"/>
      <c r="R244" s="49"/>
      <c r="S244" s="49"/>
      <c r="T244" s="49"/>
      <c r="U244" s="49"/>
      <c r="V244" s="49"/>
      <c r="W244" s="49"/>
      <c r="X244" s="49"/>
    </row>
    <row r="245" spans="1:24" s="177" customFormat="1" ht="14.4" x14ac:dyDescent="0.3">
      <c r="A245" s="195"/>
      <c r="B245" s="195"/>
      <c r="C245" s="400"/>
      <c r="D245" s="195"/>
      <c r="E245" s="195"/>
      <c r="F245" s="195"/>
      <c r="G245" s="195"/>
      <c r="H245" s="195"/>
      <c r="I245" s="195"/>
      <c r="J245" s="195"/>
      <c r="K245" s="195"/>
      <c r="L245" s="401"/>
      <c r="M245" s="195"/>
      <c r="N245" s="195"/>
      <c r="O245" s="195"/>
      <c r="P245" s="49"/>
      <c r="Q245" s="49"/>
      <c r="R245" s="49"/>
      <c r="S245" s="49"/>
      <c r="T245" s="49"/>
      <c r="U245" s="49"/>
      <c r="V245" s="49"/>
      <c r="W245" s="49"/>
      <c r="X245" s="49"/>
    </row>
    <row r="246" spans="1:24" s="177" customFormat="1" ht="14.4" x14ac:dyDescent="0.3">
      <c r="A246" s="195"/>
      <c r="B246" s="195"/>
      <c r="C246" s="400"/>
      <c r="D246" s="195"/>
      <c r="E246" s="195"/>
      <c r="F246" s="195"/>
      <c r="G246" s="195"/>
      <c r="H246" s="195"/>
      <c r="I246" s="195"/>
      <c r="J246" s="195"/>
      <c r="K246" s="195"/>
      <c r="L246" s="401"/>
      <c r="M246" s="195"/>
      <c r="N246" s="195"/>
      <c r="O246" s="195"/>
      <c r="P246" s="49"/>
      <c r="Q246" s="49"/>
      <c r="R246" s="49"/>
      <c r="S246" s="49"/>
      <c r="T246" s="49"/>
      <c r="U246" s="49"/>
      <c r="V246" s="49"/>
      <c r="W246" s="49"/>
      <c r="X246" s="49"/>
    </row>
    <row r="247" spans="1:24" s="177" customFormat="1" ht="15" thickBot="1" x14ac:dyDescent="0.35">
      <c r="A247" s="195"/>
      <c r="B247" s="195"/>
      <c r="C247" s="409"/>
      <c r="D247" s="408"/>
      <c r="E247" s="408"/>
      <c r="F247" s="408"/>
      <c r="G247" s="408"/>
      <c r="H247" s="408"/>
      <c r="I247" s="408"/>
      <c r="J247" s="408"/>
      <c r="K247" s="408"/>
      <c r="L247" s="410"/>
      <c r="M247" s="195"/>
      <c r="N247" s="195"/>
      <c r="O247" s="195"/>
      <c r="P247" s="49"/>
      <c r="Q247" s="49"/>
      <c r="R247" s="49"/>
      <c r="S247" s="49"/>
      <c r="T247" s="49"/>
      <c r="U247" s="49"/>
      <c r="V247" s="49"/>
      <c r="W247" s="49"/>
      <c r="X247" s="49"/>
    </row>
    <row r="248" spans="1:24" s="177" customFormat="1" ht="14.4" x14ac:dyDescent="0.3">
      <c r="A248" s="195"/>
      <c r="B248" s="49"/>
      <c r="C248" s="49"/>
      <c r="D248" s="49"/>
      <c r="E248" s="49"/>
      <c r="F248" s="49"/>
      <c r="G248" s="49"/>
      <c r="H248" s="49"/>
      <c r="I248" s="49"/>
      <c r="J248" s="49"/>
      <c r="K248" s="49"/>
      <c r="L248" s="49"/>
      <c r="M248" s="49"/>
      <c r="N248" s="195"/>
      <c r="O248" s="195"/>
      <c r="P248" s="49"/>
      <c r="Q248" s="49"/>
      <c r="R248" s="49"/>
      <c r="S248" s="49"/>
      <c r="T248" s="49"/>
      <c r="U248" s="49"/>
      <c r="V248" s="49"/>
      <c r="W248" s="49"/>
      <c r="X248" s="49"/>
    </row>
    <row r="249" spans="1:24" s="177" customFormat="1" ht="14.4" x14ac:dyDescent="0.3">
      <c r="A249" s="195"/>
      <c r="B249" s="49"/>
      <c r="C249" s="49"/>
      <c r="D249" s="49"/>
      <c r="E249" s="49"/>
      <c r="F249" s="49"/>
      <c r="G249" s="49"/>
      <c r="H249" s="49"/>
      <c r="I249" s="49"/>
      <c r="J249" s="49"/>
      <c r="K249" s="49"/>
      <c r="L249" s="49"/>
      <c r="M249" s="49"/>
      <c r="N249" s="195"/>
      <c r="O249" s="195"/>
      <c r="P249" s="49"/>
      <c r="Q249" s="49"/>
      <c r="R249" s="49"/>
      <c r="S249" s="49"/>
      <c r="T249" s="49"/>
      <c r="U249" s="49"/>
      <c r="V249" s="49"/>
      <c r="W249" s="49"/>
      <c r="X249" s="49"/>
    </row>
    <row r="250" spans="1:24" s="177" customFormat="1" ht="15" thickBot="1" x14ac:dyDescent="0.35">
      <c r="A250" s="195"/>
      <c r="B250" s="49"/>
      <c r="C250" s="49"/>
      <c r="D250" s="49"/>
      <c r="E250" s="49"/>
      <c r="F250" s="49"/>
      <c r="G250" s="49"/>
      <c r="H250" s="49"/>
      <c r="I250" s="49"/>
      <c r="J250" s="49"/>
      <c r="K250" s="49"/>
      <c r="L250" s="49"/>
      <c r="M250" s="49"/>
      <c r="N250" s="195"/>
      <c r="O250" s="195"/>
      <c r="P250" s="49"/>
      <c r="Q250" s="49"/>
      <c r="R250" s="49"/>
      <c r="S250" s="49"/>
      <c r="T250" s="49"/>
      <c r="U250" s="49"/>
      <c r="V250" s="49"/>
      <c r="W250" s="49"/>
      <c r="X250" s="49"/>
    </row>
    <row r="251" spans="1:24" s="177" customFormat="1" ht="23.4" x14ac:dyDescent="0.45">
      <c r="A251" s="195"/>
      <c r="B251" s="195"/>
      <c r="C251" s="188" t="s">
        <v>282</v>
      </c>
      <c r="D251" s="398"/>
      <c r="E251" s="398"/>
      <c r="F251" s="398"/>
      <c r="G251" s="398"/>
      <c r="H251" s="398"/>
      <c r="I251" s="398"/>
      <c r="J251" s="398"/>
      <c r="K251" s="398"/>
      <c r="L251" s="399"/>
      <c r="M251" s="195"/>
      <c r="N251" s="195"/>
      <c r="O251" s="195"/>
      <c r="P251" s="49"/>
      <c r="Q251" s="49"/>
      <c r="R251" s="49"/>
      <c r="S251" s="49"/>
      <c r="T251" s="49"/>
      <c r="U251" s="49"/>
      <c r="V251" s="49"/>
      <c r="W251" s="49"/>
      <c r="X251" s="49"/>
    </row>
    <row r="252" spans="1:24" s="177" customFormat="1" ht="14.4" x14ac:dyDescent="0.3">
      <c r="A252" s="195"/>
      <c r="B252" s="195"/>
      <c r="C252" s="400"/>
      <c r="D252" s="195"/>
      <c r="E252" s="195"/>
      <c r="F252" s="195"/>
      <c r="G252" s="195"/>
      <c r="H252" s="195"/>
      <c r="I252" s="195"/>
      <c r="J252" s="195"/>
      <c r="K252" s="195"/>
      <c r="L252" s="401"/>
      <c r="M252" s="195"/>
      <c r="N252" s="195"/>
      <c r="O252" s="195"/>
      <c r="P252" s="49"/>
      <c r="Q252" s="49"/>
      <c r="R252" s="49"/>
      <c r="S252" s="49"/>
      <c r="T252" s="49"/>
      <c r="U252" s="49"/>
      <c r="V252" s="49"/>
      <c r="W252" s="49"/>
      <c r="X252" s="49"/>
    </row>
    <row r="253" spans="1:24" s="177" customFormat="1" ht="15" thickBot="1" x14ac:dyDescent="0.35">
      <c r="A253" s="195"/>
      <c r="B253" s="195"/>
      <c r="C253" s="400"/>
      <c r="D253" s="195"/>
      <c r="E253" s="195"/>
      <c r="F253" s="195"/>
      <c r="G253" s="195"/>
      <c r="H253" s="195"/>
      <c r="I253" s="195"/>
      <c r="J253" s="195"/>
      <c r="K253" s="195"/>
      <c r="L253" s="401"/>
      <c r="M253" s="195"/>
      <c r="N253" s="195"/>
      <c r="O253" s="195"/>
      <c r="P253" s="49"/>
      <c r="Q253" s="49"/>
      <c r="R253" s="49"/>
      <c r="S253" s="49"/>
      <c r="T253" s="49"/>
      <c r="U253" s="49"/>
      <c r="V253" s="49"/>
      <c r="W253" s="49"/>
      <c r="X253" s="49"/>
    </row>
    <row r="254" spans="1:24" s="177" customFormat="1" ht="28.8" x14ac:dyDescent="0.3">
      <c r="A254" s="195"/>
      <c r="B254" s="195"/>
      <c r="C254" s="400"/>
      <c r="D254" s="195"/>
      <c r="E254" s="195"/>
      <c r="F254" s="195"/>
      <c r="G254" s="216" t="s">
        <v>222</v>
      </c>
      <c r="H254" s="216" t="s">
        <v>223</v>
      </c>
      <c r="I254" s="216" t="s">
        <v>224</v>
      </c>
      <c r="J254" s="195"/>
      <c r="K254" s="195"/>
      <c r="L254" s="401"/>
      <c r="M254" s="195"/>
      <c r="N254" s="195"/>
      <c r="O254" s="195"/>
      <c r="P254" s="49"/>
      <c r="Q254" s="49"/>
      <c r="R254" s="49"/>
      <c r="S254" s="49"/>
      <c r="T254" s="49"/>
      <c r="U254" s="49"/>
      <c r="V254" s="49"/>
      <c r="W254" s="49"/>
      <c r="X254" s="49"/>
    </row>
    <row r="255" spans="1:24" s="177" customFormat="1" ht="14.4" x14ac:dyDescent="0.3">
      <c r="A255" s="195"/>
      <c r="B255" s="195"/>
      <c r="C255" s="400"/>
      <c r="D255" s="195"/>
      <c r="E255" s="217" t="s">
        <v>283</v>
      </c>
      <c r="F255" s="49"/>
      <c r="G255" s="218">
        <f>J269+J276</f>
        <v>14400</v>
      </c>
      <c r="H255" s="218">
        <f>G255*$G$3</f>
        <v>28800</v>
      </c>
      <c r="I255" s="218">
        <f>H255*52/12</f>
        <v>124800</v>
      </c>
      <c r="J255" s="195"/>
      <c r="K255" s="195"/>
      <c r="L255" s="401"/>
      <c r="M255" s="195"/>
      <c r="N255" s="195"/>
      <c r="O255" s="195"/>
      <c r="P255" s="49"/>
      <c r="Q255" s="49"/>
      <c r="R255" s="49"/>
      <c r="S255" s="49"/>
      <c r="T255" s="49"/>
      <c r="U255" s="49"/>
      <c r="V255" s="49"/>
      <c r="W255" s="49"/>
      <c r="X255" s="49"/>
    </row>
    <row r="256" spans="1:24" s="177" customFormat="1" ht="14.4" x14ac:dyDescent="0.3">
      <c r="A256" s="195"/>
      <c r="B256" s="195"/>
      <c r="C256" s="400"/>
      <c r="D256" s="195"/>
      <c r="E256" s="219" t="s">
        <v>225</v>
      </c>
      <c r="F256" s="49"/>
      <c r="G256" s="220" t="str">
        <f>VLOOKUP(G255,FabricMapping!$C$11:$F$21,4,1)</f>
        <v>F16</v>
      </c>
      <c r="H256" s="220" t="str">
        <f>VLOOKUP(H255,FabricMapping!$D$11:$F$21,3,1)</f>
        <v>F4</v>
      </c>
      <c r="I256" s="220" t="str">
        <f>VLOOKUP(I255,FabricMapping!$E$11:$F$21,2,1)</f>
        <v>F4</v>
      </c>
      <c r="J256" s="195"/>
      <c r="K256" s="195"/>
      <c r="L256" s="401"/>
      <c r="M256" s="195"/>
      <c r="N256" s="195"/>
      <c r="O256" s="195"/>
      <c r="P256" s="49"/>
      <c r="Q256" s="49"/>
      <c r="R256" s="49"/>
      <c r="S256" s="49"/>
      <c r="T256" s="49"/>
      <c r="U256" s="49"/>
      <c r="V256" s="49"/>
      <c r="W256" s="49"/>
      <c r="X256" s="49"/>
    </row>
    <row r="257" spans="1:24" s="177" customFormat="1" ht="14.4" x14ac:dyDescent="0.3">
      <c r="A257" s="195"/>
      <c r="B257" s="195"/>
      <c r="C257" s="400"/>
      <c r="D257" s="195"/>
      <c r="E257" s="219" t="s">
        <v>226</v>
      </c>
      <c r="F257" s="49"/>
      <c r="G257" s="218">
        <f>VLOOKUP(G256,FabricMapping!$F$10:$J$21,3,0)</f>
        <v>23040</v>
      </c>
      <c r="H257" s="218">
        <f>VLOOKUP(H256,FabricMapping!$F$10:$J$21,4,0)</f>
        <v>40320</v>
      </c>
      <c r="I257" s="218">
        <f>VLOOKUP(I256,FabricMapping!$F$10:$J$21,5,0)</f>
        <v>174720</v>
      </c>
      <c r="J257" s="195"/>
      <c r="K257" s="195"/>
      <c r="L257" s="401"/>
      <c r="M257" s="195"/>
      <c r="N257" s="195"/>
      <c r="O257" s="195"/>
      <c r="P257" s="49"/>
      <c r="Q257" s="49"/>
      <c r="R257" s="49"/>
      <c r="S257" s="49"/>
      <c r="T257" s="49"/>
      <c r="U257" s="49"/>
      <c r="V257" s="49"/>
      <c r="W257" s="49"/>
      <c r="X257" s="49"/>
    </row>
    <row r="258" spans="1:24" s="177" customFormat="1" ht="18" hidden="1" x14ac:dyDescent="0.35">
      <c r="A258" s="195"/>
      <c r="B258" s="221"/>
      <c r="C258" s="400"/>
      <c r="D258" s="195"/>
      <c r="E258" s="219" t="s">
        <v>227</v>
      </c>
      <c r="F258" s="49"/>
      <c r="G258" s="222">
        <f>G257*Cost_Setup!$F$7/60</f>
        <v>69.11999999999999</v>
      </c>
      <c r="H258" s="222">
        <f>H257*Cost_Setup!$F$7/60</f>
        <v>120.96</v>
      </c>
      <c r="I258" s="222">
        <f>I257*Cost_Setup!$F$7/60</f>
        <v>524.16</v>
      </c>
      <c r="J258" s="195"/>
      <c r="K258" s="195"/>
      <c r="L258" s="401"/>
      <c r="M258" s="195"/>
      <c r="N258" s="195"/>
      <c r="O258" s="195"/>
      <c r="P258" s="49"/>
      <c r="Q258" s="49"/>
      <c r="R258" s="49"/>
      <c r="S258" s="49"/>
      <c r="T258" s="49"/>
      <c r="U258" s="49"/>
      <c r="V258" s="49"/>
      <c r="W258" s="49"/>
      <c r="X258" s="49"/>
    </row>
    <row r="259" spans="1:24" s="177" customFormat="1" ht="14.4" x14ac:dyDescent="0.3">
      <c r="A259" s="195"/>
      <c r="B259" s="195"/>
      <c r="C259" s="400"/>
      <c r="D259" s="195"/>
      <c r="E259" s="219" t="s">
        <v>228</v>
      </c>
      <c r="F259" s="49"/>
      <c r="G259" s="223">
        <f>G255/G257</f>
        <v>0.625</v>
      </c>
      <c r="H259" s="223">
        <f t="shared" ref="H259:I259" si="11">H255/H257</f>
        <v>0.7142857142857143</v>
      </c>
      <c r="I259" s="223">
        <f t="shared" si="11"/>
        <v>0.7142857142857143</v>
      </c>
      <c r="J259" s="195"/>
      <c r="K259" s="195"/>
      <c r="L259" s="401"/>
      <c r="M259" s="195"/>
      <c r="N259" s="195"/>
      <c r="O259" s="195"/>
      <c r="P259" s="49"/>
      <c r="Q259" s="49"/>
      <c r="R259" s="49"/>
      <c r="S259" s="49"/>
      <c r="T259" s="49"/>
      <c r="U259" s="49"/>
      <c r="V259" s="49"/>
      <c r="W259" s="49"/>
      <c r="X259" s="49"/>
    </row>
    <row r="260" spans="1:24" s="177" customFormat="1" ht="14.4" x14ac:dyDescent="0.3">
      <c r="A260" s="195"/>
      <c r="B260" s="195"/>
      <c r="C260" s="400"/>
      <c r="D260" s="195"/>
      <c r="E260" s="195"/>
      <c r="F260" s="49"/>
      <c r="G260" s="195"/>
      <c r="H260" s="49"/>
      <c r="I260" s="195"/>
      <c r="J260" s="195"/>
      <c r="K260" s="195"/>
      <c r="L260" s="401"/>
      <c r="M260" s="195"/>
      <c r="N260" s="195"/>
      <c r="O260" s="49"/>
      <c r="P260" s="49"/>
      <c r="Q260" s="49"/>
      <c r="R260" s="49"/>
      <c r="S260" s="49"/>
      <c r="T260" s="49"/>
      <c r="U260" s="49"/>
      <c r="V260" s="49"/>
      <c r="W260" s="49"/>
      <c r="X260" s="49"/>
    </row>
    <row r="261" spans="1:24" s="177" customFormat="1" ht="15" thickBot="1" x14ac:dyDescent="0.35">
      <c r="A261" s="195"/>
      <c r="B261" s="195"/>
      <c r="C261" s="400"/>
      <c r="D261" s="195"/>
      <c r="E261" s="195"/>
      <c r="F261" s="195"/>
      <c r="G261" s="195"/>
      <c r="H261" s="195"/>
      <c r="I261" s="195"/>
      <c r="J261" s="195"/>
      <c r="K261" s="195"/>
      <c r="L261" s="401"/>
      <c r="M261" s="195"/>
      <c r="N261" s="195"/>
      <c r="O261" s="49"/>
      <c r="P261" s="49"/>
      <c r="Q261" s="49"/>
      <c r="R261" s="49"/>
      <c r="S261" s="49"/>
      <c r="T261" s="49"/>
      <c r="U261" s="49"/>
      <c r="V261" s="49"/>
      <c r="W261" s="49"/>
      <c r="X261" s="49"/>
    </row>
    <row r="262" spans="1:24" s="177" customFormat="1" ht="14.4" x14ac:dyDescent="0.3">
      <c r="A262" s="195"/>
      <c r="B262" s="195"/>
      <c r="C262" s="400"/>
      <c r="D262" s="195"/>
      <c r="E262" s="561" t="s">
        <v>282</v>
      </c>
      <c r="F262" s="195"/>
      <c r="G262" s="563" t="s">
        <v>240</v>
      </c>
      <c r="H262" s="564"/>
      <c r="I262" s="564"/>
      <c r="J262" s="564"/>
      <c r="K262" s="565"/>
      <c r="L262" s="401"/>
      <c r="M262" s="195"/>
      <c r="N262" s="49"/>
      <c r="O262" s="49"/>
      <c r="P262" s="49"/>
      <c r="Q262" s="49"/>
      <c r="R262" s="49"/>
      <c r="S262" s="49"/>
      <c r="T262" s="49"/>
      <c r="U262" s="49"/>
      <c r="V262" s="49"/>
      <c r="W262" s="49"/>
      <c r="X262" s="49"/>
    </row>
    <row r="263" spans="1:24" s="177" customFormat="1" ht="14.4" x14ac:dyDescent="0.3">
      <c r="A263" s="195"/>
      <c r="B263" s="195"/>
      <c r="C263" s="400"/>
      <c r="D263" s="195"/>
      <c r="E263" s="561"/>
      <c r="F263" s="195"/>
      <c r="G263" s="202" t="s">
        <v>55</v>
      </c>
      <c r="H263" s="224" t="s">
        <v>241</v>
      </c>
      <c r="I263" s="224" t="s">
        <v>242</v>
      </c>
      <c r="J263" s="224" t="s">
        <v>243</v>
      </c>
      <c r="K263" s="198" t="s">
        <v>244</v>
      </c>
      <c r="L263" s="401"/>
      <c r="M263" s="195"/>
      <c r="N263" s="49"/>
      <c r="O263" s="195"/>
      <c r="P263" s="49"/>
      <c r="Q263" s="49"/>
      <c r="R263" s="49"/>
      <c r="S263" s="49"/>
      <c r="T263" s="49"/>
      <c r="U263" s="49"/>
      <c r="V263" s="49"/>
      <c r="W263" s="49"/>
      <c r="X263" s="49"/>
    </row>
    <row r="264" spans="1:24" s="177" customFormat="1" ht="15" thickBot="1" x14ac:dyDescent="0.35">
      <c r="A264" s="195"/>
      <c r="B264" s="195"/>
      <c r="C264" s="400"/>
      <c r="D264" s="195"/>
      <c r="E264" s="561"/>
      <c r="F264" s="195"/>
      <c r="G264" s="233" t="s">
        <v>56</v>
      </c>
      <c r="H264" s="226">
        <f>IFERROR(VLOOKUP(G264,FabricMapping!$F$39:$J$43,4,FALSE),0)</f>
        <v>4</v>
      </c>
      <c r="I264" s="226">
        <f>IFERROR(VLOOKUP(G264,FabricMapping!$F$39:$J$43,5,FALSE),0)</f>
        <v>60</v>
      </c>
      <c r="J264" s="226">
        <f>IFERROR((FabricMapping!$U$31*2)/$H$114,0)</f>
        <v>32</v>
      </c>
      <c r="K264" s="227">
        <f>J264*H264</f>
        <v>128</v>
      </c>
      <c r="L264" s="401"/>
      <c r="M264" s="195"/>
      <c r="N264" s="228"/>
      <c r="O264" s="195"/>
      <c r="P264" s="49"/>
      <c r="Q264" s="49"/>
      <c r="R264" s="49"/>
      <c r="S264" s="49"/>
      <c r="T264" s="49"/>
      <c r="U264" s="49"/>
      <c r="V264" s="49"/>
      <c r="W264" s="49"/>
      <c r="X264" s="49"/>
    </row>
    <row r="265" spans="1:24" s="177" customFormat="1" ht="14.4" x14ac:dyDescent="0.3">
      <c r="A265" s="195"/>
      <c r="B265" s="195"/>
      <c r="C265" s="400"/>
      <c r="D265" s="195"/>
      <c r="E265" s="561"/>
      <c r="F265" s="195"/>
      <c r="G265" s="195"/>
      <c r="H265" s="195"/>
      <c r="I265" s="195"/>
      <c r="J265" s="195"/>
      <c r="K265" s="195"/>
      <c r="L265" s="401"/>
      <c r="M265" s="195"/>
      <c r="N265" s="49"/>
      <c r="O265" s="195"/>
      <c r="P265" s="49"/>
      <c r="Q265" s="49"/>
      <c r="R265" s="49"/>
      <c r="S265" s="49"/>
      <c r="T265" s="49"/>
      <c r="U265" s="49"/>
      <c r="V265" s="49"/>
      <c r="W265" s="49"/>
      <c r="X265" s="49"/>
    </row>
    <row r="266" spans="1:24" s="177" customFormat="1" ht="15" thickBot="1" x14ac:dyDescent="0.35">
      <c r="A266" s="195"/>
      <c r="B266" s="195"/>
      <c r="C266" s="400"/>
      <c r="D266" s="195"/>
      <c r="E266" s="561"/>
      <c r="F266" s="195"/>
      <c r="G266" s="195"/>
      <c r="H266" s="195"/>
      <c r="I266" s="195"/>
      <c r="J266" s="195"/>
      <c r="K266" s="195"/>
      <c r="L266" s="401"/>
      <c r="M266" s="195"/>
      <c r="N266" s="49"/>
      <c r="O266" s="195"/>
      <c r="P266" s="49"/>
      <c r="Q266" s="49"/>
      <c r="R266" s="49"/>
      <c r="S266" s="49"/>
      <c r="T266" s="49"/>
      <c r="U266" s="49"/>
      <c r="V266" s="49"/>
      <c r="W266" s="49"/>
      <c r="X266" s="49"/>
    </row>
    <row r="267" spans="1:24" s="177" customFormat="1" ht="14.4" x14ac:dyDescent="0.3">
      <c r="A267" s="195"/>
      <c r="B267" s="195"/>
      <c r="C267" s="400"/>
      <c r="D267" s="195"/>
      <c r="E267" s="561"/>
      <c r="F267" s="195"/>
      <c r="G267" s="563" t="str">
        <f>"Model Scoring ("&amp;G264&amp;" Spark Cluster)"</f>
        <v>Model Scoring (Medium (8 vCore, 64 Mem) Spark Cluster)</v>
      </c>
      <c r="H267" s="564"/>
      <c r="I267" s="564"/>
      <c r="J267" s="564"/>
      <c r="K267" s="565"/>
      <c r="L267" s="401"/>
      <c r="M267" s="195"/>
      <c r="N267" s="49"/>
      <c r="O267" s="195"/>
      <c r="P267" s="49"/>
      <c r="Q267" s="49"/>
      <c r="R267" s="49"/>
      <c r="S267" s="49"/>
      <c r="T267" s="49"/>
      <c r="U267" s="49"/>
      <c r="V267" s="49"/>
      <c r="W267" s="49"/>
      <c r="X267" s="49"/>
    </row>
    <row r="268" spans="1:24" s="177" customFormat="1" ht="18.75" customHeight="1" x14ac:dyDescent="0.3">
      <c r="A268" s="195"/>
      <c r="B268" s="195"/>
      <c r="C268" s="400"/>
      <c r="D268" s="195"/>
      <c r="E268" s="561"/>
      <c r="F268" s="195"/>
      <c r="G268" s="202" t="s">
        <v>284</v>
      </c>
      <c r="H268" s="249" t="s">
        <v>285</v>
      </c>
      <c r="I268" s="224" t="s">
        <v>286</v>
      </c>
      <c r="J268" s="567" t="s">
        <v>248</v>
      </c>
      <c r="K268" s="568"/>
      <c r="L268" s="401"/>
      <c r="M268" s="195"/>
      <c r="N268" s="49"/>
      <c r="O268" s="195"/>
      <c r="P268" s="49"/>
      <c r="Q268" s="49"/>
      <c r="R268" s="49"/>
      <c r="S268" s="49"/>
      <c r="T268" s="49"/>
      <c r="U268" s="49"/>
      <c r="V268" s="49"/>
      <c r="W268" s="49"/>
      <c r="X268" s="49"/>
    </row>
    <row r="269" spans="1:24" s="177" customFormat="1" ht="15" thickBot="1" x14ac:dyDescent="0.35">
      <c r="A269" s="195"/>
      <c r="B269" s="195"/>
      <c r="C269" s="400"/>
      <c r="D269" s="195"/>
      <c r="E269" s="561"/>
      <c r="F269" s="195"/>
      <c r="G269" s="257">
        <f>G22</f>
        <v>10</v>
      </c>
      <c r="H269" s="238">
        <f>IFERROR($K$46/G269,0)</f>
        <v>540</v>
      </c>
      <c r="I269" s="238">
        <f>($G$19*60)*0.25</f>
        <v>120</v>
      </c>
      <c r="J269" s="570">
        <f>IFERROR(((ROUNDUP(H269/I264,0)+1)*H264)*I269,0)</f>
        <v>4800</v>
      </c>
      <c r="K269" s="571"/>
      <c r="L269" s="401"/>
      <c r="M269" s="195"/>
      <c r="N269" s="228"/>
      <c r="O269" s="195"/>
      <c r="P269" s="49"/>
      <c r="Q269" s="49"/>
      <c r="R269" s="49"/>
      <c r="S269" s="49"/>
      <c r="T269" s="49"/>
      <c r="U269" s="49"/>
      <c r="V269" s="49"/>
      <c r="W269" s="49"/>
      <c r="X269" s="49"/>
    </row>
    <row r="270" spans="1:24" s="177" customFormat="1" ht="15.6" x14ac:dyDescent="0.3">
      <c r="A270" s="195"/>
      <c r="B270" s="195"/>
      <c r="C270" s="400"/>
      <c r="D270" s="195"/>
      <c r="E270" s="561"/>
      <c r="F270" s="195"/>
      <c r="G270" s="240" t="s">
        <v>250</v>
      </c>
      <c r="H270" s="195"/>
      <c r="I270" s="195"/>
      <c r="J270" s="195"/>
      <c r="K270" s="195"/>
      <c r="L270" s="401"/>
      <c r="M270" s="195"/>
      <c r="N270" s="49"/>
      <c r="O270" s="195"/>
      <c r="P270" s="49"/>
      <c r="Q270" s="49"/>
      <c r="R270" s="49"/>
      <c r="S270" s="49"/>
      <c r="T270" s="49"/>
      <c r="U270" s="49"/>
      <c r="V270" s="49"/>
      <c r="W270" s="49"/>
      <c r="X270" s="49"/>
    </row>
    <row r="271" spans="1:24" s="177" customFormat="1" ht="14.4" x14ac:dyDescent="0.3">
      <c r="A271" s="195"/>
      <c r="B271" s="195"/>
      <c r="C271" s="400"/>
      <c r="D271" s="195"/>
      <c r="E271" s="195"/>
      <c r="F271" s="195"/>
      <c r="G271" s="195"/>
      <c r="H271" s="195"/>
      <c r="I271" s="195"/>
      <c r="J271" s="195"/>
      <c r="K271" s="195"/>
      <c r="L271" s="401"/>
      <c r="M271" s="195"/>
      <c r="N271" s="49"/>
      <c r="O271" s="195"/>
      <c r="P271" s="49"/>
      <c r="Q271" s="49"/>
      <c r="R271" s="49"/>
      <c r="S271" s="49"/>
      <c r="T271" s="49"/>
      <c r="U271" s="49"/>
      <c r="V271" s="49"/>
      <c r="W271" s="49"/>
      <c r="X271" s="49"/>
    </row>
    <row r="272" spans="1:24" s="177" customFormat="1" ht="14.4" x14ac:dyDescent="0.3">
      <c r="A272" s="195"/>
      <c r="B272" s="195"/>
      <c r="C272" s="400"/>
      <c r="D272" s="195"/>
      <c r="E272" s="195"/>
      <c r="F272" s="195"/>
      <c r="G272" s="195"/>
      <c r="H272" s="195"/>
      <c r="I272" s="195"/>
      <c r="J272" s="195"/>
      <c r="K272" s="195"/>
      <c r="L272" s="401"/>
      <c r="M272" s="195"/>
      <c r="N272" s="49"/>
      <c r="O272" s="195"/>
      <c r="P272" s="49"/>
      <c r="Q272" s="49"/>
      <c r="R272" s="49"/>
      <c r="S272" s="49"/>
      <c r="T272" s="49"/>
      <c r="U272" s="49"/>
      <c r="V272" s="49"/>
      <c r="W272" s="49"/>
      <c r="X272" s="49"/>
    </row>
    <row r="273" spans="1:24" s="177" customFormat="1" ht="15" thickBot="1" x14ac:dyDescent="0.35">
      <c r="A273" s="195"/>
      <c r="B273" s="195"/>
      <c r="C273" s="400"/>
      <c r="D273" s="195"/>
      <c r="E273" s="195"/>
      <c r="F273" s="195"/>
      <c r="G273" s="195"/>
      <c r="H273" s="195"/>
      <c r="I273" s="195"/>
      <c r="J273" s="195"/>
      <c r="K273" s="195"/>
      <c r="L273" s="401"/>
      <c r="M273" s="195"/>
      <c r="N273" s="49"/>
      <c r="O273" s="195"/>
      <c r="P273" s="49"/>
      <c r="Q273" s="49"/>
      <c r="R273" s="49"/>
      <c r="S273" s="49"/>
      <c r="T273" s="49"/>
      <c r="U273" s="49"/>
      <c r="V273" s="49"/>
      <c r="W273" s="49"/>
      <c r="X273" s="49"/>
    </row>
    <row r="274" spans="1:24" s="177" customFormat="1" ht="14.4" x14ac:dyDescent="0.3">
      <c r="A274" s="195"/>
      <c r="B274" s="195"/>
      <c r="C274" s="400"/>
      <c r="D274" s="195"/>
      <c r="E274" s="561" t="s">
        <v>287</v>
      </c>
      <c r="F274" s="195"/>
      <c r="G274" s="563" t="str">
        <f>"Exploratory Data Science ("&amp;G264&amp;" Spark Cluster)"</f>
        <v>Exploratory Data Science (Medium (8 vCore, 64 Mem) Spark Cluster)</v>
      </c>
      <c r="H274" s="564"/>
      <c r="I274" s="564"/>
      <c r="J274" s="564"/>
      <c r="K274" s="565"/>
      <c r="L274" s="401"/>
      <c r="M274" s="195"/>
      <c r="N274" s="49"/>
      <c r="O274" s="195"/>
      <c r="P274" s="49"/>
      <c r="Q274" s="49"/>
      <c r="R274" s="49"/>
      <c r="S274" s="49"/>
      <c r="T274" s="49"/>
      <c r="U274" s="49"/>
      <c r="V274" s="49"/>
      <c r="W274" s="49"/>
      <c r="X274" s="49"/>
    </row>
    <row r="275" spans="1:24" s="177" customFormat="1" ht="18.75" customHeight="1" x14ac:dyDescent="0.3">
      <c r="A275" s="195"/>
      <c r="B275" s="195"/>
      <c r="C275" s="400"/>
      <c r="D275" s="195"/>
      <c r="E275" s="561"/>
      <c r="F275" s="195"/>
      <c r="G275" s="202" t="s">
        <v>288</v>
      </c>
      <c r="H275" s="567" t="s">
        <v>286</v>
      </c>
      <c r="I275" s="567"/>
      <c r="J275" s="567" t="s">
        <v>248</v>
      </c>
      <c r="K275" s="568"/>
      <c r="L275" s="401"/>
      <c r="M275" s="195"/>
      <c r="N275" s="49"/>
      <c r="O275" s="195"/>
      <c r="P275" s="49"/>
      <c r="Q275" s="49"/>
      <c r="R275" s="49"/>
      <c r="S275" s="49"/>
      <c r="T275" s="49"/>
      <c r="U275" s="49"/>
      <c r="V275" s="49"/>
      <c r="W275" s="49"/>
      <c r="X275" s="49"/>
    </row>
    <row r="276" spans="1:24" s="177" customFormat="1" ht="15" thickBot="1" x14ac:dyDescent="0.35">
      <c r="A276" s="195"/>
      <c r="B276" s="195"/>
      <c r="C276" s="400"/>
      <c r="D276" s="195"/>
      <c r="E276" s="561"/>
      <c r="F276" s="195"/>
      <c r="G276" s="257">
        <f>G23</f>
        <v>10</v>
      </c>
      <c r="H276" s="599">
        <f>($G$19*60)/2</f>
        <v>240</v>
      </c>
      <c r="I276" s="599"/>
      <c r="J276" s="570">
        <f>(G276*H264)*H276</f>
        <v>9600</v>
      </c>
      <c r="K276" s="571"/>
      <c r="L276" s="401"/>
      <c r="M276" s="195"/>
      <c r="N276" s="228"/>
      <c r="O276" s="195"/>
      <c r="P276" s="49"/>
      <c r="Q276" s="49"/>
      <c r="R276" s="49"/>
      <c r="S276" s="49"/>
      <c r="T276" s="49"/>
      <c r="U276" s="49"/>
      <c r="V276" s="49"/>
      <c r="W276" s="49"/>
      <c r="X276" s="49"/>
    </row>
    <row r="277" spans="1:24" s="177" customFormat="1" ht="15" thickBot="1" x14ac:dyDescent="0.35">
      <c r="A277" s="195"/>
      <c r="B277" s="195"/>
      <c r="C277" s="409"/>
      <c r="D277" s="408"/>
      <c r="E277" s="408"/>
      <c r="F277" s="408"/>
      <c r="G277" s="408"/>
      <c r="H277" s="408"/>
      <c r="I277" s="408"/>
      <c r="J277" s="408"/>
      <c r="K277" s="408"/>
      <c r="L277" s="410"/>
      <c r="M277" s="195"/>
      <c r="N277" s="49"/>
      <c r="O277" s="195"/>
      <c r="P277" s="49"/>
      <c r="Q277" s="49"/>
      <c r="R277" s="49"/>
      <c r="S277" s="49"/>
      <c r="T277" s="49"/>
      <c r="U277" s="49"/>
      <c r="V277" s="49"/>
      <c r="W277" s="49"/>
      <c r="X277" s="49"/>
    </row>
    <row r="278" spans="1:24" s="177" customFormat="1" ht="14.4" x14ac:dyDescent="0.3">
      <c r="A278" s="195"/>
      <c r="B278" s="195"/>
      <c r="C278" s="195"/>
      <c r="D278" s="195"/>
      <c r="E278" s="195"/>
      <c r="F278" s="195"/>
      <c r="G278" s="195"/>
      <c r="H278" s="195"/>
      <c r="I278" s="195"/>
      <c r="J278" s="195"/>
      <c r="K278" s="195"/>
      <c r="L278" s="195"/>
      <c r="M278" s="195"/>
      <c r="N278" s="49"/>
      <c r="O278" s="195"/>
      <c r="P278" s="49"/>
      <c r="Q278" s="49"/>
      <c r="R278" s="49"/>
      <c r="S278" s="49"/>
      <c r="T278" s="49"/>
      <c r="U278" s="49"/>
      <c r="V278" s="49"/>
      <c r="W278" s="49"/>
      <c r="X278" s="49"/>
    </row>
    <row r="279" spans="1:24" s="177" customFormat="1" ht="14.4" x14ac:dyDescent="0.3">
      <c r="A279" s="195"/>
      <c r="B279" s="195"/>
      <c r="C279" s="195"/>
      <c r="D279" s="195"/>
      <c r="E279" s="195"/>
      <c r="F279" s="195"/>
      <c r="G279" s="195"/>
      <c r="H279" s="195"/>
      <c r="I279" s="195"/>
      <c r="J279" s="195"/>
      <c r="K279" s="195"/>
      <c r="L279" s="195"/>
      <c r="M279" s="195"/>
      <c r="N279" s="195"/>
      <c r="O279" s="195"/>
      <c r="P279" s="195"/>
      <c r="Q279" s="195"/>
      <c r="R279" s="195"/>
      <c r="S279" s="195"/>
      <c r="T279" s="195"/>
      <c r="U279" s="195"/>
      <c r="V279" s="195"/>
      <c r="W279" s="195"/>
      <c r="X279" s="195"/>
    </row>
    <row r="280" spans="1:24" s="177" customFormat="1" ht="14.4" x14ac:dyDescent="0.3">
      <c r="A280" s="195"/>
      <c r="B280" s="195"/>
      <c r="C280" s="195"/>
      <c r="D280" s="195"/>
      <c r="E280" s="195"/>
      <c r="F280" s="195"/>
      <c r="G280" s="195"/>
      <c r="H280" s="195"/>
      <c r="I280" s="195"/>
      <c r="J280" s="195"/>
      <c r="K280" s="195"/>
      <c r="L280" s="195"/>
      <c r="M280" s="195"/>
      <c r="N280" s="195"/>
      <c r="O280" s="195"/>
      <c r="P280" s="195"/>
      <c r="Q280" s="195"/>
      <c r="R280" s="195"/>
      <c r="S280" s="195"/>
      <c r="T280" s="195"/>
      <c r="U280" s="195"/>
      <c r="V280" s="195"/>
      <c r="W280" s="195"/>
      <c r="X280" s="195"/>
    </row>
    <row r="281" spans="1:24" s="177" customFormat="1" ht="14.4" x14ac:dyDescent="0.3">
      <c r="A281" s="195"/>
      <c r="B281" s="195"/>
      <c r="C281" s="195"/>
      <c r="D281" s="195"/>
      <c r="E281" s="195"/>
      <c r="F281" s="195"/>
      <c r="G281" s="195"/>
      <c r="H281" s="195"/>
      <c r="I281" s="195"/>
      <c r="J281" s="195"/>
      <c r="K281" s="195"/>
      <c r="L281" s="195"/>
      <c r="M281" s="195"/>
      <c r="N281" s="195"/>
      <c r="O281" s="195"/>
      <c r="P281" s="195"/>
      <c r="Q281" s="195"/>
      <c r="R281" s="195"/>
      <c r="S281" s="195"/>
      <c r="T281" s="195"/>
      <c r="U281" s="195"/>
      <c r="V281" s="195"/>
      <c r="W281" s="195"/>
      <c r="X281" s="195"/>
    </row>
    <row r="282" spans="1:24" s="177" customFormat="1" ht="15" thickBot="1" x14ac:dyDescent="0.35">
      <c r="A282" s="195"/>
      <c r="B282" s="195"/>
      <c r="C282" s="195"/>
      <c r="D282" s="195"/>
      <c r="E282" s="195"/>
      <c r="F282" s="195"/>
      <c r="G282" s="195"/>
      <c r="H282" s="195"/>
      <c r="I282" s="195"/>
      <c r="J282" s="195"/>
      <c r="K282" s="195"/>
      <c r="L282" s="195"/>
      <c r="M282" s="195"/>
      <c r="N282" s="195"/>
      <c r="O282" s="195"/>
      <c r="P282" s="195"/>
      <c r="Q282" s="195"/>
      <c r="R282" s="195"/>
      <c r="S282" s="195"/>
      <c r="T282" s="195"/>
      <c r="U282" s="195"/>
      <c r="V282" s="195"/>
      <c r="W282" s="195"/>
      <c r="X282" s="195"/>
    </row>
    <row r="283" spans="1:24" s="177" customFormat="1" ht="23.4" x14ac:dyDescent="0.45">
      <c r="A283" s="195"/>
      <c r="B283" s="195"/>
      <c r="C283" s="188" t="s">
        <v>289</v>
      </c>
      <c r="D283" s="398"/>
      <c r="E283" s="398"/>
      <c r="F283" s="398"/>
      <c r="G283" s="398"/>
      <c r="H283" s="398"/>
      <c r="I283" s="398"/>
      <c r="J283" s="398"/>
      <c r="K283" s="398"/>
      <c r="L283" s="399"/>
      <c r="M283" s="195"/>
      <c r="N283" s="195"/>
      <c r="O283" s="195"/>
      <c r="P283" s="49"/>
      <c r="Q283" s="49"/>
      <c r="R283" s="49"/>
      <c r="S283" s="49"/>
      <c r="T283" s="49"/>
      <c r="U283" s="49"/>
      <c r="V283" s="49"/>
      <c r="W283" s="49"/>
      <c r="X283" s="49"/>
    </row>
    <row r="284" spans="1:24" s="177" customFormat="1" ht="14.4" x14ac:dyDescent="0.3">
      <c r="A284" s="195"/>
      <c r="B284" s="195"/>
      <c r="C284" s="400"/>
      <c r="D284" s="195"/>
      <c r="E284" s="195"/>
      <c r="F284" s="195"/>
      <c r="G284" s="195"/>
      <c r="H284" s="195"/>
      <c r="I284" s="195"/>
      <c r="J284" s="195"/>
      <c r="K284" s="195"/>
      <c r="L284" s="401"/>
      <c r="M284" s="195"/>
      <c r="N284" s="195"/>
      <c r="O284" s="195"/>
      <c r="P284" s="49"/>
      <c r="Q284" s="49"/>
      <c r="R284" s="49"/>
      <c r="S284" s="49"/>
      <c r="T284" s="49"/>
      <c r="U284" s="49"/>
      <c r="V284" s="49"/>
      <c r="W284" s="49"/>
      <c r="X284" s="49"/>
    </row>
    <row r="285" spans="1:24" s="177" customFormat="1" ht="15" thickBot="1" x14ac:dyDescent="0.35">
      <c r="A285" s="195"/>
      <c r="B285" s="195"/>
      <c r="C285" s="400"/>
      <c r="D285" s="195"/>
      <c r="E285" s="195"/>
      <c r="F285" s="195"/>
      <c r="G285" s="195"/>
      <c r="H285" s="195"/>
      <c r="I285" s="195"/>
      <c r="J285" s="195"/>
      <c r="K285" s="195"/>
      <c r="L285" s="401"/>
      <c r="M285" s="195"/>
      <c r="N285" s="195"/>
      <c r="O285" s="195"/>
      <c r="P285" s="49"/>
      <c r="Q285" s="49"/>
      <c r="R285" s="49"/>
      <c r="S285" s="49"/>
      <c r="T285" s="49"/>
      <c r="U285" s="49"/>
      <c r="V285" s="49"/>
      <c r="W285" s="49"/>
      <c r="X285" s="49"/>
    </row>
    <row r="286" spans="1:24" s="177" customFormat="1" ht="28.8" x14ac:dyDescent="0.3">
      <c r="A286" s="195"/>
      <c r="B286" s="195"/>
      <c r="C286" s="400"/>
      <c r="D286" s="195"/>
      <c r="E286" s="195"/>
      <c r="F286" s="195"/>
      <c r="G286" s="216" t="s">
        <v>222</v>
      </c>
      <c r="H286" s="216" t="s">
        <v>223</v>
      </c>
      <c r="I286" s="216" t="s">
        <v>224</v>
      </c>
      <c r="J286" s="195"/>
      <c r="K286" s="195"/>
      <c r="L286" s="401"/>
      <c r="M286" s="195"/>
      <c r="N286" s="195"/>
      <c r="O286" s="195"/>
      <c r="P286" s="49"/>
      <c r="Q286" s="49"/>
      <c r="R286" s="49"/>
      <c r="S286" s="49"/>
      <c r="T286" s="49"/>
      <c r="U286" s="49"/>
      <c r="V286" s="49"/>
      <c r="W286" s="49"/>
      <c r="X286" s="49"/>
    </row>
    <row r="287" spans="1:24" s="177" customFormat="1" ht="14.4" x14ac:dyDescent="0.3">
      <c r="A287" s="195"/>
      <c r="B287" s="195"/>
      <c r="C287" s="400"/>
      <c r="D287" s="195"/>
      <c r="E287" s="217" t="s">
        <v>290</v>
      </c>
      <c r="F287" s="49"/>
      <c r="G287" s="218">
        <f>K299+K311+K317</f>
        <v>26498</v>
      </c>
      <c r="H287" s="218">
        <f>G287*7</f>
        <v>185486</v>
      </c>
      <c r="I287" s="218">
        <f>H287*52/12</f>
        <v>803772.66666666663</v>
      </c>
      <c r="J287" s="195"/>
      <c r="K287" s="195"/>
      <c r="L287" s="401"/>
      <c r="M287" s="195"/>
      <c r="N287" s="195"/>
      <c r="O287" s="195"/>
      <c r="P287" s="49"/>
      <c r="Q287" s="49"/>
      <c r="R287" s="49"/>
      <c r="S287" s="49"/>
      <c r="T287" s="49"/>
      <c r="U287" s="49"/>
      <c r="V287" s="49"/>
      <c r="W287" s="49"/>
      <c r="X287" s="49"/>
    </row>
    <row r="288" spans="1:24" s="177" customFormat="1" ht="14.4" x14ac:dyDescent="0.3">
      <c r="A288" s="195"/>
      <c r="B288" s="195"/>
      <c r="C288" s="400"/>
      <c r="D288" s="195"/>
      <c r="E288" s="219" t="s">
        <v>225</v>
      </c>
      <c r="F288" s="49"/>
      <c r="G288" s="220" t="str">
        <f>VLOOKUP(G287,FabricMapping!$C$11:$F$21,4,1)</f>
        <v>F32</v>
      </c>
      <c r="H288" s="220" t="str">
        <f>VLOOKUP(H287,FabricMapping!$D$11:$F$21,3,1)</f>
        <v>F32</v>
      </c>
      <c r="I288" s="220" t="str">
        <f>VLOOKUP(I287,FabricMapping!$E$11:$F$21,2,1)</f>
        <v>F32</v>
      </c>
      <c r="J288" s="195"/>
      <c r="K288" s="195"/>
      <c r="L288" s="401"/>
      <c r="M288" s="195"/>
      <c r="N288" s="195"/>
      <c r="O288" s="195"/>
      <c r="P288" s="49"/>
      <c r="Q288" s="49"/>
      <c r="R288" s="49"/>
      <c r="S288" s="49"/>
      <c r="T288" s="49"/>
      <c r="U288" s="49"/>
      <c r="V288" s="49"/>
      <c r="W288" s="49"/>
      <c r="X288" s="49"/>
    </row>
    <row r="289" spans="2:24" s="177" customFormat="1" ht="14.4" x14ac:dyDescent="0.3">
      <c r="B289" s="195"/>
      <c r="C289" s="400"/>
      <c r="D289" s="195"/>
      <c r="E289" s="219" t="s">
        <v>226</v>
      </c>
      <c r="F289" s="49"/>
      <c r="G289" s="218">
        <f>VLOOKUP(G288,FabricMapping!$F$10:$J$21,3,0)</f>
        <v>46080</v>
      </c>
      <c r="H289" s="218">
        <f>VLOOKUP(H288,FabricMapping!$F$10:$J$21,4,0)</f>
        <v>322560</v>
      </c>
      <c r="I289" s="218">
        <f>VLOOKUP(I288,FabricMapping!$F$10:$J$21,5,0)</f>
        <v>1397760</v>
      </c>
      <c r="J289" s="195"/>
      <c r="K289" s="195"/>
      <c r="L289" s="401"/>
      <c r="M289" s="195"/>
      <c r="N289" s="195"/>
      <c r="O289" s="195"/>
      <c r="P289" s="49"/>
      <c r="Q289" s="49"/>
      <c r="R289" s="49"/>
      <c r="S289" s="49"/>
      <c r="T289" s="49"/>
      <c r="U289" s="49"/>
      <c r="V289" s="49"/>
      <c r="W289" s="49"/>
      <c r="X289" s="49"/>
    </row>
    <row r="290" spans="2:24" s="177" customFormat="1" ht="18" hidden="1" x14ac:dyDescent="0.35">
      <c r="B290" s="221"/>
      <c r="C290" s="400"/>
      <c r="D290" s="195"/>
      <c r="E290" s="219" t="s">
        <v>227</v>
      </c>
      <c r="F290" s="49"/>
      <c r="G290" s="222">
        <f>G289*Cost_Setup!$F$7/60</f>
        <v>138.23999999999998</v>
      </c>
      <c r="H290" s="222">
        <f>H289*Cost_Setup!$F$7/60</f>
        <v>967.68</v>
      </c>
      <c r="I290" s="222">
        <f>I289*Cost_Setup!$F$7/60</f>
        <v>4193.28</v>
      </c>
      <c r="J290" s="195"/>
      <c r="K290" s="195"/>
      <c r="L290" s="401"/>
      <c r="M290" s="195"/>
      <c r="N290" s="195"/>
      <c r="O290" s="195"/>
      <c r="P290" s="49"/>
      <c r="Q290" s="49"/>
      <c r="R290" s="49"/>
      <c r="S290" s="49"/>
      <c r="T290" s="49"/>
      <c r="U290" s="49"/>
      <c r="V290" s="49"/>
      <c r="W290" s="49"/>
      <c r="X290" s="49"/>
    </row>
    <row r="291" spans="2:24" s="177" customFormat="1" ht="14.4" x14ac:dyDescent="0.3">
      <c r="B291" s="195"/>
      <c r="C291" s="400"/>
      <c r="D291" s="195"/>
      <c r="E291" s="219" t="s">
        <v>228</v>
      </c>
      <c r="F291" s="49"/>
      <c r="G291" s="223">
        <f>G287/G289</f>
        <v>0.57504340277777777</v>
      </c>
      <c r="H291" s="223">
        <f t="shared" ref="H291:I291" si="12">H287/H289</f>
        <v>0.57504340277777777</v>
      </c>
      <c r="I291" s="223">
        <f t="shared" si="12"/>
        <v>0.57504340277777777</v>
      </c>
      <c r="J291" s="195"/>
      <c r="K291" s="195"/>
      <c r="L291" s="401"/>
      <c r="M291" s="195"/>
      <c r="N291" s="195"/>
      <c r="O291" s="195"/>
      <c r="P291" s="49"/>
      <c r="Q291" s="49"/>
      <c r="R291" s="49"/>
      <c r="S291" s="49"/>
      <c r="T291" s="49"/>
      <c r="U291" s="49"/>
      <c r="V291" s="49"/>
      <c r="W291" s="49"/>
      <c r="X291" s="49"/>
    </row>
    <row r="292" spans="2:24" s="177" customFormat="1" ht="14.4" x14ac:dyDescent="0.3">
      <c r="B292" s="195"/>
      <c r="C292" s="400"/>
      <c r="D292" s="195"/>
      <c r="E292" s="195"/>
      <c r="F292" s="195"/>
      <c r="G292" s="195"/>
      <c r="H292" s="195"/>
      <c r="I292" s="195"/>
      <c r="J292" s="195"/>
      <c r="K292" s="195"/>
      <c r="L292" s="401"/>
      <c r="M292" s="195"/>
      <c r="N292" s="195"/>
      <c r="O292" s="195"/>
      <c r="P292" s="195"/>
      <c r="Q292" s="195"/>
      <c r="R292" s="195"/>
      <c r="S292" s="195"/>
      <c r="T292" s="195"/>
      <c r="U292" s="195"/>
      <c r="V292" s="195"/>
      <c r="W292" s="195"/>
      <c r="X292" s="195"/>
    </row>
    <row r="293" spans="2:24" s="177" customFormat="1" ht="15" thickBot="1" x14ac:dyDescent="0.35">
      <c r="B293" s="195"/>
      <c r="C293" s="400"/>
      <c r="D293" s="195"/>
      <c r="E293" s="195"/>
      <c r="F293" s="195"/>
      <c r="G293" s="195"/>
      <c r="H293" s="195"/>
      <c r="I293" s="195"/>
      <c r="J293" s="195"/>
      <c r="K293" s="195"/>
      <c r="L293" s="401"/>
      <c r="M293" s="195"/>
      <c r="N293" s="195"/>
      <c r="O293" s="195"/>
      <c r="P293" s="195"/>
      <c r="Q293" s="195"/>
      <c r="R293" s="195"/>
      <c r="S293" s="195"/>
      <c r="T293" s="195"/>
      <c r="U293" s="195"/>
      <c r="V293" s="195"/>
      <c r="W293" s="195"/>
      <c r="X293" s="195"/>
    </row>
    <row r="294" spans="2:24" s="177" customFormat="1" ht="15" customHeight="1" x14ac:dyDescent="0.3">
      <c r="B294" s="195"/>
      <c r="C294" s="400"/>
      <c r="D294" s="195"/>
      <c r="E294" s="561" t="s">
        <v>150</v>
      </c>
      <c r="F294" s="195"/>
      <c r="G294" s="563" t="s">
        <v>291</v>
      </c>
      <c r="H294" s="564"/>
      <c r="I294" s="564"/>
      <c r="J294" s="564"/>
      <c r="K294" s="565"/>
      <c r="L294" s="401"/>
      <c r="M294" s="195"/>
      <c r="N294" s="258"/>
      <c r="O294" s="259"/>
      <c r="P294" s="260"/>
      <c r="Q294" s="195"/>
      <c r="R294" s="195"/>
      <c r="S294" s="195"/>
      <c r="T294" s="195"/>
      <c r="U294" s="195"/>
      <c r="V294" s="195"/>
      <c r="W294" s="195"/>
      <c r="X294" s="195"/>
    </row>
    <row r="295" spans="2:24" s="177" customFormat="1" ht="28.8" x14ac:dyDescent="0.3">
      <c r="B295" s="195"/>
      <c r="C295" s="400"/>
      <c r="D295" s="195"/>
      <c r="E295" s="561"/>
      <c r="F295" s="195"/>
      <c r="G295" s="261" t="s">
        <v>292</v>
      </c>
      <c r="H295" s="262" t="s">
        <v>293</v>
      </c>
      <c r="I295" s="262" t="s">
        <v>294</v>
      </c>
      <c r="J295" s="263" t="s">
        <v>295</v>
      </c>
      <c r="K295" s="264" t="s">
        <v>296</v>
      </c>
      <c r="L295" s="401"/>
      <c r="M295" s="195"/>
      <c r="N295" s="258"/>
      <c r="O295" s="49"/>
      <c r="P295" s="260"/>
      <c r="Q295" s="195"/>
      <c r="R295" s="195"/>
      <c r="S295" s="195"/>
      <c r="T295" s="195"/>
      <c r="U295" s="195"/>
      <c r="V295" s="195"/>
      <c r="W295" s="195"/>
      <c r="X295" s="195"/>
    </row>
    <row r="296" spans="2:24" s="177" customFormat="1" ht="15" customHeight="1" thickBot="1" x14ac:dyDescent="0.35">
      <c r="B296" s="195"/>
      <c r="C296" s="400"/>
      <c r="D296" s="195"/>
      <c r="E296" s="561"/>
      <c r="F296" s="195"/>
      <c r="G296" s="237">
        <f>G24</f>
        <v>100</v>
      </c>
      <c r="H296" s="226">
        <f>G25</f>
        <v>5</v>
      </c>
      <c r="I296" s="265">
        <v>2</v>
      </c>
      <c r="J296" s="226">
        <f>IFERROR((24*60)/H296*G296,0)</f>
        <v>28800</v>
      </c>
      <c r="K296" s="266">
        <f>(J296*I296)/(1024*1024)</f>
        <v>5.4931640625E-2</v>
      </c>
      <c r="L296" s="401"/>
      <c r="M296" s="195"/>
      <c r="N296" s="258"/>
      <c r="O296" s="49"/>
      <c r="P296" s="260"/>
      <c r="Q296" s="195"/>
      <c r="R296" s="195"/>
      <c r="S296" s="195"/>
      <c r="T296" s="195"/>
      <c r="U296" s="195"/>
      <c r="V296" s="195"/>
      <c r="W296" s="195"/>
      <c r="X296" s="195"/>
    </row>
    <row r="297" spans="2:24" s="177" customFormat="1" ht="15" thickBot="1" x14ac:dyDescent="0.35">
      <c r="B297" s="195"/>
      <c r="C297" s="400"/>
      <c r="D297" s="195"/>
      <c r="E297" s="561"/>
      <c r="F297" s="195"/>
      <c r="G297" s="49"/>
      <c r="H297" s="49"/>
      <c r="I297" s="49"/>
      <c r="J297" s="49"/>
      <c r="K297" s="49"/>
      <c r="L297" s="401"/>
      <c r="M297" s="195"/>
      <c r="N297" s="49"/>
      <c r="O297" s="49"/>
      <c r="P297" s="260"/>
      <c r="Q297" s="195"/>
      <c r="R297" s="195"/>
      <c r="S297" s="195"/>
      <c r="T297" s="195"/>
      <c r="U297" s="195"/>
      <c r="V297" s="195"/>
      <c r="W297" s="195"/>
      <c r="X297" s="195"/>
    </row>
    <row r="298" spans="2:24" s="177" customFormat="1" ht="15.75" customHeight="1" x14ac:dyDescent="0.3">
      <c r="B298" s="195"/>
      <c r="C298" s="400"/>
      <c r="D298" s="195"/>
      <c r="E298" s="561"/>
      <c r="F298" s="195"/>
      <c r="G298" s="267" t="s">
        <v>297</v>
      </c>
      <c r="H298" s="268" t="s">
        <v>298</v>
      </c>
      <c r="I298" s="268" t="s">
        <v>299</v>
      </c>
      <c r="J298" s="268" t="s">
        <v>300</v>
      </c>
      <c r="K298" s="269" t="s">
        <v>301</v>
      </c>
      <c r="L298" s="425"/>
      <c r="M298" s="195"/>
      <c r="N298" s="49"/>
      <c r="O298" s="49"/>
      <c r="P298" s="260"/>
      <c r="Q298" s="195"/>
      <c r="R298" s="195"/>
      <c r="S298" s="195"/>
      <c r="T298" s="195"/>
      <c r="U298" s="195"/>
      <c r="V298" s="195"/>
      <c r="W298" s="195"/>
      <c r="X298" s="195"/>
    </row>
    <row r="299" spans="2:24" s="177" customFormat="1" ht="15" customHeight="1" thickBot="1" x14ac:dyDescent="0.35">
      <c r="B299" s="195"/>
      <c r="C299" s="400"/>
      <c r="D299" s="195"/>
      <c r="E299" s="561"/>
      <c r="F299" s="195"/>
      <c r="G299" s="237">
        <f>G26</f>
        <v>25</v>
      </c>
      <c r="H299" s="226">
        <f>ROUNDUP(G299*FabricMapping!$N$121,0)</f>
        <v>417</v>
      </c>
      <c r="I299" s="239">
        <f>IFERROR(ROUNDUP(J296*FabricMapping!$N$120,0),0)</f>
        <v>5</v>
      </c>
      <c r="J299" s="226">
        <f>ROUNDUP(FabricMapping!$N$119*K296,0)</f>
        <v>37</v>
      </c>
      <c r="K299" s="227">
        <f>SUM(H299:J299)</f>
        <v>459</v>
      </c>
      <c r="L299" s="401"/>
      <c r="M299" s="195"/>
      <c r="N299" s="258"/>
      <c r="O299" s="49"/>
      <c r="P299" s="260"/>
      <c r="Q299" s="195"/>
      <c r="R299" s="195"/>
      <c r="S299" s="195"/>
      <c r="T299" s="195"/>
      <c r="U299" s="195"/>
      <c r="V299" s="195"/>
      <c r="W299" s="195"/>
      <c r="X299" s="195"/>
    </row>
    <row r="300" spans="2:24" s="177" customFormat="1" ht="15" customHeight="1" thickBot="1" x14ac:dyDescent="0.35">
      <c r="B300" s="195"/>
      <c r="C300" s="400"/>
      <c r="D300" s="195"/>
      <c r="E300" s="561"/>
      <c r="F300" s="195"/>
      <c r="G300" s="270"/>
      <c r="H300" s="270"/>
      <c r="I300" s="270"/>
      <c r="J300" s="270"/>
      <c r="K300" s="270"/>
      <c r="L300" s="425"/>
      <c r="M300" s="195"/>
      <c r="N300" s="49"/>
      <c r="O300" s="49"/>
      <c r="P300" s="260"/>
      <c r="Q300" s="195"/>
      <c r="R300" s="195"/>
      <c r="S300" s="195"/>
      <c r="T300" s="195"/>
      <c r="U300" s="195"/>
      <c r="V300" s="195"/>
      <c r="W300" s="195"/>
      <c r="X300" s="195"/>
    </row>
    <row r="301" spans="2:24" s="177" customFormat="1" ht="15" customHeight="1" x14ac:dyDescent="0.3">
      <c r="B301" s="195"/>
      <c r="C301" s="400"/>
      <c r="D301" s="195"/>
      <c r="E301" s="561"/>
      <c r="F301" s="195"/>
      <c r="G301" s="572" t="s">
        <v>302</v>
      </c>
      <c r="H301" s="573"/>
      <c r="I301" s="573"/>
      <c r="J301" s="573"/>
      <c r="K301" s="574"/>
      <c r="L301" s="425"/>
      <c r="M301" s="195"/>
      <c r="N301" s="49"/>
      <c r="O301" s="49"/>
      <c r="P301" s="260"/>
      <c r="Q301" s="195"/>
      <c r="R301" s="195"/>
      <c r="S301" s="195"/>
      <c r="T301" s="195"/>
      <c r="U301" s="195"/>
      <c r="V301" s="195"/>
      <c r="W301" s="195"/>
      <c r="X301" s="195"/>
    </row>
    <row r="302" spans="2:24" s="177" customFormat="1" ht="15" customHeight="1" x14ac:dyDescent="0.3">
      <c r="B302" s="195"/>
      <c r="C302" s="400"/>
      <c r="D302" s="195"/>
      <c r="E302" s="561"/>
      <c r="F302" s="195"/>
      <c r="G302" s="271" t="s">
        <v>303</v>
      </c>
      <c r="H302" s="575" t="s">
        <v>304</v>
      </c>
      <c r="I302" s="575"/>
      <c r="J302" s="575"/>
      <c r="K302" s="576"/>
      <c r="L302" s="425"/>
      <c r="M302" s="195"/>
      <c r="N302" s="195"/>
      <c r="O302" s="195"/>
      <c r="P302" s="195"/>
      <c r="Q302" s="195"/>
      <c r="R302" s="195"/>
      <c r="S302" s="195"/>
      <c r="T302" s="195"/>
      <c r="U302" s="195"/>
      <c r="V302" s="195"/>
      <c r="W302" s="195"/>
      <c r="X302" s="195"/>
    </row>
    <row r="303" spans="2:24" s="177" customFormat="1" ht="15.75" customHeight="1" thickBot="1" x14ac:dyDescent="0.35">
      <c r="B303" s="195"/>
      <c r="C303" s="400"/>
      <c r="D303" s="195"/>
      <c r="E303" s="561"/>
      <c r="F303" s="195"/>
      <c r="G303" s="237">
        <f>G27</f>
        <v>7</v>
      </c>
      <c r="H303" s="570">
        <f>ROUNDUP(G303*K296,2)</f>
        <v>0.39</v>
      </c>
      <c r="I303" s="570"/>
      <c r="J303" s="570"/>
      <c r="K303" s="571"/>
      <c r="L303" s="425"/>
      <c r="M303" s="195"/>
      <c r="N303" s="195"/>
      <c r="O303" s="195"/>
      <c r="P303" s="195"/>
      <c r="Q303" s="195"/>
      <c r="R303" s="195"/>
      <c r="S303" s="195"/>
      <c r="T303" s="195"/>
      <c r="U303" s="195"/>
      <c r="V303" s="195"/>
      <c r="W303" s="195"/>
      <c r="X303" s="195"/>
    </row>
    <row r="304" spans="2:24" s="177" customFormat="1" ht="14.4" x14ac:dyDescent="0.3">
      <c r="B304" s="195"/>
      <c r="C304" s="400"/>
      <c r="D304" s="195"/>
      <c r="E304" s="195"/>
      <c r="F304" s="195"/>
      <c r="G304" s="195"/>
      <c r="H304" s="195"/>
      <c r="I304" s="195"/>
      <c r="J304" s="195"/>
      <c r="K304" s="195"/>
      <c r="L304" s="401"/>
      <c r="M304" s="195"/>
      <c r="N304" s="195"/>
      <c r="O304" s="195"/>
      <c r="P304" s="195"/>
      <c r="Q304" s="195"/>
      <c r="R304" s="195"/>
      <c r="S304" s="195"/>
      <c r="T304" s="195"/>
      <c r="U304" s="195"/>
      <c r="V304" s="195"/>
      <c r="W304" s="195"/>
      <c r="X304" s="195"/>
    </row>
    <row r="305" spans="2:24" s="177" customFormat="1" ht="14.4" x14ac:dyDescent="0.3">
      <c r="B305" s="195"/>
      <c r="C305" s="400"/>
      <c r="D305" s="195"/>
      <c r="E305" s="195"/>
      <c r="F305" s="195"/>
      <c r="G305" s="195"/>
      <c r="H305" s="195"/>
      <c r="I305" s="195"/>
      <c r="J305" s="195"/>
      <c r="K305" s="426"/>
      <c r="L305" s="425"/>
      <c r="M305" s="195"/>
      <c r="N305" s="195"/>
      <c r="O305" s="195"/>
      <c r="P305" s="195"/>
      <c r="Q305" s="195"/>
      <c r="R305" s="195"/>
      <c r="S305" s="195"/>
      <c r="T305" s="195"/>
      <c r="U305" s="195"/>
      <c r="V305" s="195"/>
      <c r="W305" s="195"/>
      <c r="X305" s="195"/>
    </row>
    <row r="306" spans="2:24" s="177" customFormat="1" ht="15" thickBot="1" x14ac:dyDescent="0.35">
      <c r="B306" s="195"/>
      <c r="C306" s="400"/>
      <c r="D306" s="195"/>
      <c r="E306" s="195"/>
      <c r="F306" s="195"/>
      <c r="G306" s="195"/>
      <c r="H306" s="195"/>
      <c r="I306" s="195"/>
      <c r="J306" s="195"/>
      <c r="K306" s="426"/>
      <c r="L306" s="425"/>
      <c r="M306" s="195"/>
      <c r="N306" s="195"/>
      <c r="O306" s="195"/>
      <c r="P306" s="195"/>
      <c r="Q306" s="195"/>
      <c r="R306" s="195"/>
      <c r="S306" s="195"/>
      <c r="T306" s="195"/>
      <c r="U306" s="195"/>
      <c r="V306" s="195"/>
      <c r="W306" s="195"/>
      <c r="X306" s="195"/>
    </row>
    <row r="307" spans="2:24" s="177" customFormat="1" ht="14.4" x14ac:dyDescent="0.3">
      <c r="B307" s="195"/>
      <c r="C307" s="400"/>
      <c r="D307" s="195"/>
      <c r="E307" s="561" t="s">
        <v>305</v>
      </c>
      <c r="F307" s="195"/>
      <c r="G307" s="563" t="s">
        <v>306</v>
      </c>
      <c r="H307" s="564"/>
      <c r="I307" s="564"/>
      <c r="J307" s="564"/>
      <c r="K307" s="565"/>
      <c r="L307" s="425"/>
      <c r="M307" s="427"/>
      <c r="N307" s="195"/>
      <c r="O307" s="195"/>
      <c r="P307" s="195"/>
      <c r="Q307" s="195"/>
      <c r="R307" s="195"/>
      <c r="S307" s="195"/>
      <c r="T307" s="195"/>
      <c r="U307" s="195"/>
      <c r="V307" s="195"/>
      <c r="W307" s="195"/>
      <c r="X307" s="195"/>
    </row>
    <row r="308" spans="2:24" s="177" customFormat="1" ht="14.4" x14ac:dyDescent="0.3">
      <c r="B308" s="195"/>
      <c r="C308" s="400"/>
      <c r="D308" s="195"/>
      <c r="E308" s="561"/>
      <c r="F308" s="195"/>
      <c r="G308" s="273" t="s">
        <v>307</v>
      </c>
      <c r="H308" s="262" t="s">
        <v>308</v>
      </c>
      <c r="I308" s="262" t="s">
        <v>309</v>
      </c>
      <c r="J308" s="262" t="s">
        <v>310</v>
      </c>
      <c r="K308" s="264" t="s">
        <v>311</v>
      </c>
      <c r="L308" s="425"/>
      <c r="M308" s="195"/>
      <c r="N308" s="195"/>
      <c r="O308" s="195"/>
      <c r="P308" s="195"/>
      <c r="Q308" s="195"/>
      <c r="R308" s="195"/>
      <c r="S308" s="195"/>
      <c r="T308" s="195"/>
      <c r="U308" s="195"/>
      <c r="V308" s="195"/>
      <c r="W308" s="195"/>
      <c r="X308" s="195"/>
    </row>
    <row r="309" spans="2:24" s="177" customFormat="1" ht="14.4" x14ac:dyDescent="0.3">
      <c r="B309" s="195"/>
      <c r="C309" s="400"/>
      <c r="D309" s="195"/>
      <c r="E309" s="561"/>
      <c r="F309" s="195"/>
      <c r="G309" s="428">
        <v>7</v>
      </c>
      <c r="H309" s="421">
        <f>ROUNDUP((((G29/G309)*(J309+K309))+(G28/G309)),2)</f>
        <v>53</v>
      </c>
      <c r="I309" s="421">
        <f>(((G29/G309)*J309)+(G28/G309))</f>
        <v>10.142857142857142</v>
      </c>
      <c r="J309" s="429">
        <f>G30</f>
        <v>7</v>
      </c>
      <c r="K309" s="430">
        <f>G31</f>
        <v>30</v>
      </c>
      <c r="L309" s="425"/>
      <c r="M309" s="195"/>
      <c r="N309" s="431"/>
      <c r="O309" s="195"/>
      <c r="P309" s="195"/>
      <c r="Q309" s="195"/>
      <c r="R309" s="195"/>
      <c r="S309" s="195"/>
      <c r="T309" s="195"/>
      <c r="U309" s="195"/>
      <c r="V309" s="195"/>
      <c r="W309" s="195"/>
      <c r="X309" s="195"/>
    </row>
    <row r="310" spans="2:24" s="177" customFormat="1" ht="14.4" x14ac:dyDescent="0.3">
      <c r="B310" s="195"/>
      <c r="C310" s="400"/>
      <c r="D310" s="195"/>
      <c r="E310" s="561"/>
      <c r="F310" s="195"/>
      <c r="G310" s="273" t="s">
        <v>312</v>
      </c>
      <c r="H310" s="262" t="s">
        <v>313</v>
      </c>
      <c r="I310" s="262" t="s">
        <v>314</v>
      </c>
      <c r="J310" s="262" t="s">
        <v>315</v>
      </c>
      <c r="K310" s="274" t="s">
        <v>316</v>
      </c>
      <c r="L310" s="425"/>
      <c r="M310" s="195"/>
      <c r="N310" s="195"/>
      <c r="O310" s="195"/>
      <c r="P310" s="195"/>
      <c r="Q310" s="195"/>
      <c r="R310" s="195"/>
      <c r="S310" s="195"/>
      <c r="T310" s="195"/>
      <c r="U310" s="195"/>
      <c r="V310" s="195"/>
      <c r="W310" s="195"/>
      <c r="X310" s="195"/>
    </row>
    <row r="311" spans="2:24" s="177" customFormat="1" ht="15" thickBot="1" x14ac:dyDescent="0.35">
      <c r="B311" s="195"/>
      <c r="C311" s="400"/>
      <c r="D311" s="195"/>
      <c r="E311" s="561"/>
      <c r="F311" s="195"/>
      <c r="G311" s="415" t="str">
        <f>IFERROR(VLOOKUP(I309,FabricMapping!$E$93:$I$101,2,1),0)</f>
        <v>Small</v>
      </c>
      <c r="H311" s="406">
        <f>IFERROR(ROUNDUP(I309/VLOOKUP(G311,FabricMapping!$F$93:$I$101,2,0),0),0)</f>
        <v>1</v>
      </c>
      <c r="I311" s="406">
        <f>IFERROR(IF(G311="XX-Large",VLOOKUP(G311,FabricMapping!$F$93:$H$101,3,0)*H311,VLOOKUP(G311,FabricMapping!$F$93:$H$101,3,0)),0)</f>
        <v>4</v>
      </c>
      <c r="J311" s="416">
        <f>G32/24</f>
        <v>1</v>
      </c>
      <c r="K311" s="407" cm="1">
        <f t="array" ref="K311">ROUNDUP((_xlfn.SWITCH(G311, "Extra Extra Small", (I311+0.25), "Extra Small", (I311+0.25), I311+2)*J311)*24*60,2)</f>
        <v>8640</v>
      </c>
      <c r="L311" s="425"/>
      <c r="M311" s="195"/>
      <c r="N311" s="195"/>
      <c r="O311" s="195"/>
      <c r="P311" s="195"/>
      <c r="Q311" s="195"/>
      <c r="R311" s="195"/>
      <c r="S311" s="195"/>
      <c r="T311" s="195"/>
      <c r="U311" s="195"/>
      <c r="V311" s="195"/>
      <c r="W311" s="195"/>
      <c r="X311" s="195"/>
    </row>
    <row r="312" spans="2:24" s="177" customFormat="1" ht="14.4" x14ac:dyDescent="0.3">
      <c r="B312" s="195"/>
      <c r="C312" s="400"/>
      <c r="D312" s="195"/>
      <c r="E312" s="195"/>
      <c r="F312" s="195"/>
      <c r="G312" s="195"/>
      <c r="H312" s="195"/>
      <c r="I312" s="195"/>
      <c r="J312" s="195"/>
      <c r="K312" s="426"/>
      <c r="L312" s="425"/>
      <c r="M312" s="195"/>
      <c r="N312" s="195"/>
      <c r="O312" s="195"/>
      <c r="P312" s="195"/>
      <c r="Q312" s="195"/>
      <c r="R312" s="195"/>
      <c r="S312" s="195"/>
      <c r="T312" s="195"/>
      <c r="U312" s="195"/>
      <c r="V312" s="195"/>
      <c r="W312" s="195"/>
      <c r="X312" s="195"/>
    </row>
    <row r="313" spans="2:24" s="177" customFormat="1" ht="14.4" x14ac:dyDescent="0.3">
      <c r="B313" s="195"/>
      <c r="C313" s="400"/>
      <c r="D313" s="195"/>
      <c r="E313" s="195"/>
      <c r="F313" s="195"/>
      <c r="G313" s="195"/>
      <c r="H313" s="195"/>
      <c r="I313" s="195"/>
      <c r="J313" s="195"/>
      <c r="K313" s="426"/>
      <c r="L313" s="425"/>
      <c r="M313" s="195"/>
      <c r="N313" s="195"/>
      <c r="O313" s="195"/>
      <c r="P313" s="195"/>
      <c r="Q313" s="195"/>
      <c r="R313" s="195"/>
      <c r="S313" s="195"/>
      <c r="T313" s="195"/>
      <c r="U313" s="195"/>
      <c r="V313" s="195"/>
      <c r="W313" s="195"/>
      <c r="X313" s="195"/>
    </row>
    <row r="314" spans="2:24" s="177" customFormat="1" ht="15" thickBot="1" x14ac:dyDescent="0.35">
      <c r="B314" s="195"/>
      <c r="C314" s="400"/>
      <c r="D314" s="195"/>
      <c r="E314" s="195"/>
      <c r="F314" s="195"/>
      <c r="G314" s="195"/>
      <c r="H314" s="195"/>
      <c r="I314" s="195"/>
      <c r="J314" s="195"/>
      <c r="K314" s="426"/>
      <c r="L314" s="425"/>
      <c r="M314" s="195"/>
      <c r="N314" s="195"/>
      <c r="O314" s="195"/>
      <c r="P314" s="195"/>
      <c r="Q314" s="195"/>
      <c r="R314" s="195"/>
      <c r="S314" s="195"/>
      <c r="T314" s="195"/>
      <c r="U314" s="195"/>
      <c r="V314" s="195"/>
      <c r="W314" s="195"/>
      <c r="X314" s="195"/>
    </row>
    <row r="315" spans="2:24" s="177" customFormat="1" ht="14.4" x14ac:dyDescent="0.3">
      <c r="B315" s="195"/>
      <c r="C315" s="400"/>
      <c r="D315" s="195"/>
      <c r="E315" s="561" t="s">
        <v>149</v>
      </c>
      <c r="F315" s="195"/>
      <c r="G315" s="563" t="s">
        <v>149</v>
      </c>
      <c r="H315" s="564"/>
      <c r="I315" s="564"/>
      <c r="J315" s="564"/>
      <c r="K315" s="565"/>
      <c r="L315" s="425"/>
      <c r="M315" s="195"/>
      <c r="N315" s="195"/>
      <c r="O315" s="195"/>
      <c r="P315" s="195"/>
      <c r="Q315" s="195"/>
      <c r="R315" s="195"/>
      <c r="S315" s="195"/>
      <c r="T315" s="195"/>
      <c r="U315" s="195"/>
      <c r="V315" s="195"/>
      <c r="W315" s="195"/>
      <c r="X315" s="195"/>
    </row>
    <row r="316" spans="2:24" s="177" customFormat="1" ht="14.4" x14ac:dyDescent="0.3">
      <c r="B316" s="195"/>
      <c r="C316" s="400"/>
      <c r="D316" s="195"/>
      <c r="E316" s="561"/>
      <c r="F316" s="195"/>
      <c r="G316" s="230" t="s">
        <v>317</v>
      </c>
      <c r="H316" s="231" t="s">
        <v>295</v>
      </c>
      <c r="I316" s="231" t="s">
        <v>97</v>
      </c>
      <c r="J316" s="231" t="s">
        <v>318</v>
      </c>
      <c r="K316" s="232" t="s">
        <v>319</v>
      </c>
      <c r="L316" s="425"/>
      <c r="M316" s="195"/>
      <c r="N316" s="195"/>
      <c r="O316" s="195"/>
      <c r="P316" s="195"/>
      <c r="Q316" s="195"/>
      <c r="R316" s="195"/>
      <c r="S316" s="195"/>
      <c r="T316" s="195"/>
      <c r="U316" s="195"/>
      <c r="V316" s="195"/>
      <c r="W316" s="195"/>
      <c r="X316" s="195"/>
    </row>
    <row r="317" spans="2:24" s="177" customFormat="1" ht="15" thickBot="1" x14ac:dyDescent="0.35">
      <c r="B317" s="195"/>
      <c r="C317" s="400"/>
      <c r="D317" s="195"/>
      <c r="E317" s="561"/>
      <c r="F317" s="195"/>
      <c r="G317" s="257">
        <f>G33</f>
        <v>10</v>
      </c>
      <c r="H317" s="226">
        <f>(G317*1024)/($I$296/1024)</f>
        <v>5242880</v>
      </c>
      <c r="I317" s="239">
        <f>K309</f>
        <v>30</v>
      </c>
      <c r="J317" s="226">
        <f>(G317*I317) - G317</f>
        <v>290</v>
      </c>
      <c r="K317" s="227">
        <f>SUM(I320+J324+I328)</f>
        <v>17399</v>
      </c>
      <c r="L317" s="425"/>
      <c r="M317" s="195"/>
      <c r="N317" s="195"/>
      <c r="O317" s="195"/>
      <c r="P317" s="195"/>
      <c r="Q317" s="195"/>
      <c r="R317" s="195"/>
      <c r="S317" s="195"/>
      <c r="T317" s="195"/>
      <c r="U317" s="195"/>
      <c r="V317" s="195"/>
      <c r="W317" s="195"/>
      <c r="X317" s="195"/>
    </row>
    <row r="318" spans="2:24" s="177" customFormat="1" ht="14.4" x14ac:dyDescent="0.3">
      <c r="B318" s="195"/>
      <c r="C318" s="400"/>
      <c r="D318" s="195"/>
      <c r="E318" s="561"/>
      <c r="F318" s="195"/>
      <c r="G318" s="572" t="s">
        <v>149</v>
      </c>
      <c r="H318" s="573"/>
      <c r="I318" s="573"/>
      <c r="J318" s="573"/>
      <c r="K318" s="574"/>
      <c r="L318" s="425"/>
      <c r="M318" s="195"/>
      <c r="N318" s="195"/>
      <c r="O318" s="195"/>
      <c r="P318" s="195"/>
      <c r="Q318" s="195"/>
      <c r="R318" s="195"/>
      <c r="S318" s="195"/>
      <c r="T318" s="195"/>
      <c r="U318" s="195"/>
      <c r="V318" s="195"/>
      <c r="W318" s="195"/>
      <c r="X318" s="195"/>
    </row>
    <row r="319" spans="2:24" s="177" customFormat="1" ht="14.4" x14ac:dyDescent="0.3">
      <c r="B319" s="195"/>
      <c r="C319" s="400"/>
      <c r="D319" s="195"/>
      <c r="E319" s="561"/>
      <c r="F319" s="195"/>
      <c r="G319" s="275" t="s">
        <v>320</v>
      </c>
      <c r="H319" s="209" t="s">
        <v>321</v>
      </c>
      <c r="I319" s="597" t="s">
        <v>322</v>
      </c>
      <c r="J319" s="597"/>
      <c r="K319" s="598"/>
      <c r="L319" s="425"/>
      <c r="M319" s="195"/>
      <c r="N319" s="195"/>
      <c r="O319" s="195"/>
      <c r="P319" s="195"/>
      <c r="Q319" s="195"/>
      <c r="R319" s="195"/>
      <c r="S319" s="195"/>
      <c r="T319" s="195"/>
      <c r="U319" s="195"/>
      <c r="V319" s="195"/>
      <c r="W319" s="195"/>
      <c r="X319" s="195"/>
    </row>
    <row r="320" spans="2:24" s="177" customFormat="1" ht="15" thickBot="1" x14ac:dyDescent="0.35">
      <c r="B320" s="195"/>
      <c r="C320" s="400"/>
      <c r="D320" s="195"/>
      <c r="E320" s="561"/>
      <c r="F320" s="195"/>
      <c r="G320" s="257">
        <f>G34</f>
        <v>24</v>
      </c>
      <c r="H320" s="276">
        <f>G35</f>
        <v>1</v>
      </c>
      <c r="I320" s="570">
        <f>G320*H320*FabricMapping!$N$130</f>
        <v>336</v>
      </c>
      <c r="J320" s="570"/>
      <c r="K320" s="571"/>
      <c r="L320" s="425"/>
      <c r="M320" s="195"/>
      <c r="N320" s="195"/>
      <c r="O320" s="195"/>
      <c r="P320" s="195"/>
      <c r="Q320" s="195"/>
      <c r="R320" s="195"/>
      <c r="S320" s="195"/>
      <c r="T320" s="195"/>
      <c r="U320" s="195"/>
      <c r="V320" s="195"/>
      <c r="W320" s="195"/>
      <c r="X320" s="195"/>
    </row>
    <row r="321" spans="3:16" s="177" customFormat="1" ht="15" thickBot="1" x14ac:dyDescent="0.35">
      <c r="C321" s="400"/>
      <c r="D321" s="195"/>
      <c r="E321" s="561"/>
      <c r="F321" s="195"/>
      <c r="G321" s="270"/>
      <c r="H321" s="270"/>
      <c r="I321" s="270"/>
      <c r="J321" s="270"/>
      <c r="K321" s="270"/>
      <c r="L321" s="425"/>
      <c r="M321" s="195"/>
      <c r="N321" s="195"/>
      <c r="O321" s="195"/>
      <c r="P321" s="195"/>
    </row>
    <row r="322" spans="3:16" s="177" customFormat="1" ht="14.4" x14ac:dyDescent="0.3">
      <c r="C322" s="400"/>
      <c r="D322" s="195"/>
      <c r="E322" s="561"/>
      <c r="F322" s="195"/>
      <c r="G322" s="572" t="s">
        <v>323</v>
      </c>
      <c r="H322" s="573"/>
      <c r="I322" s="573"/>
      <c r="J322" s="573"/>
      <c r="K322" s="574"/>
      <c r="L322" s="425"/>
      <c r="M322" s="195"/>
      <c r="N322" s="195"/>
      <c r="O322" s="195"/>
      <c r="P322" s="195"/>
    </row>
    <row r="323" spans="3:16" s="177" customFormat="1" ht="14.4" x14ac:dyDescent="0.3">
      <c r="C323" s="400"/>
      <c r="D323" s="195"/>
      <c r="E323" s="561"/>
      <c r="F323" s="195"/>
      <c r="G323" s="271" t="s">
        <v>324</v>
      </c>
      <c r="H323" s="272" t="s">
        <v>325</v>
      </c>
      <c r="I323" s="272" t="s">
        <v>326</v>
      </c>
      <c r="J323" s="597" t="s">
        <v>322</v>
      </c>
      <c r="K323" s="598"/>
      <c r="L323" s="425"/>
      <c r="M323" s="195"/>
      <c r="N323" s="195"/>
      <c r="O323" s="195"/>
      <c r="P323" s="195"/>
    </row>
    <row r="324" spans="3:16" s="177" customFormat="1" ht="15" thickBot="1" x14ac:dyDescent="0.35">
      <c r="C324" s="400"/>
      <c r="D324" s="195"/>
      <c r="E324" s="561"/>
      <c r="F324" s="195"/>
      <c r="G324" s="237">
        <f>G317</f>
        <v>10</v>
      </c>
      <c r="H324" s="226">
        <f>G324*0.25</f>
        <v>2.5</v>
      </c>
      <c r="I324" s="226">
        <f>G324+H324</f>
        <v>12.5</v>
      </c>
      <c r="J324" s="570">
        <f>ROUNDUP(I324*FabricMapping!$N$131,0)</f>
        <v>263</v>
      </c>
      <c r="K324" s="571"/>
      <c r="L324" s="425"/>
      <c r="M324" s="195"/>
      <c r="N324" s="195"/>
      <c r="O324" s="195"/>
      <c r="P324" s="195"/>
    </row>
    <row r="325" spans="3:16" s="177" customFormat="1" ht="15" thickBot="1" x14ac:dyDescent="0.35">
      <c r="C325" s="400"/>
      <c r="D325" s="195"/>
      <c r="E325" s="561"/>
      <c r="F325" s="195"/>
      <c r="G325" s="270"/>
      <c r="H325" s="277"/>
      <c r="I325" s="270"/>
      <c r="J325" s="270"/>
      <c r="K325" s="270"/>
      <c r="L325" s="425"/>
      <c r="M325" s="195"/>
      <c r="N325" s="195"/>
      <c r="O325" s="195"/>
      <c r="P325" s="195"/>
    </row>
    <row r="326" spans="3:16" s="177" customFormat="1" ht="14.4" x14ac:dyDescent="0.3">
      <c r="C326" s="400"/>
      <c r="D326" s="195"/>
      <c r="E326" s="561"/>
      <c r="F326" s="195"/>
      <c r="G326" s="572" t="s">
        <v>327</v>
      </c>
      <c r="H326" s="573"/>
      <c r="I326" s="573"/>
      <c r="J326" s="573"/>
      <c r="K326" s="574"/>
      <c r="L326" s="425"/>
      <c r="M326" s="195"/>
      <c r="N326" s="195"/>
      <c r="O326" s="195"/>
      <c r="P326" s="195"/>
    </row>
    <row r="327" spans="3:16" s="177" customFormat="1" ht="14.4" x14ac:dyDescent="0.3">
      <c r="C327" s="400"/>
      <c r="D327" s="195"/>
      <c r="E327" s="561"/>
      <c r="F327" s="195"/>
      <c r="G327" s="278" t="s">
        <v>328</v>
      </c>
      <c r="H327" s="279" t="s">
        <v>329</v>
      </c>
      <c r="I327" s="597" t="s">
        <v>322</v>
      </c>
      <c r="J327" s="597"/>
      <c r="K327" s="598"/>
      <c r="L327" s="425"/>
      <c r="M327" s="195"/>
      <c r="N327" s="195"/>
      <c r="O327" s="195"/>
      <c r="P327" s="195"/>
    </row>
    <row r="328" spans="3:16" s="177" customFormat="1" ht="15" thickBot="1" x14ac:dyDescent="0.35">
      <c r="C328" s="400"/>
      <c r="D328" s="195"/>
      <c r="E328" s="561"/>
      <c r="F328" s="195"/>
      <c r="G328" s="257">
        <f>G36</f>
        <v>5</v>
      </c>
      <c r="H328" s="226">
        <f>G320</f>
        <v>24</v>
      </c>
      <c r="I328" s="570">
        <f>(G328*H328)*FabricMapping!$N$132</f>
        <v>16800</v>
      </c>
      <c r="J328" s="570"/>
      <c r="K328" s="571"/>
      <c r="L328" s="425"/>
      <c r="M328" s="195"/>
      <c r="N328" s="195"/>
      <c r="O328" s="195"/>
      <c r="P328" s="195"/>
    </row>
    <row r="329" spans="3:16" s="177" customFormat="1" ht="14.4" x14ac:dyDescent="0.3">
      <c r="C329" s="400"/>
      <c r="D329" s="195"/>
      <c r="E329" s="195"/>
      <c r="F329" s="195"/>
      <c r="G329" s="195"/>
      <c r="H329" s="195"/>
      <c r="I329" s="195"/>
      <c r="J329" s="195"/>
      <c r="K329" s="426"/>
      <c r="L329" s="425"/>
      <c r="M329" s="195"/>
      <c r="N329" s="195"/>
      <c r="O329" s="195"/>
      <c r="P329" s="195"/>
    </row>
    <row r="330" spans="3:16" s="177" customFormat="1" ht="14.4" x14ac:dyDescent="0.3">
      <c r="C330" s="400"/>
      <c r="D330" s="195"/>
      <c r="E330" s="195"/>
      <c r="F330" s="195"/>
      <c r="G330" s="195"/>
      <c r="H330" s="195"/>
      <c r="I330" s="195"/>
      <c r="J330" s="195"/>
      <c r="K330" s="426"/>
      <c r="L330" s="425"/>
      <c r="M330" s="195"/>
      <c r="N330" s="195"/>
      <c r="O330" s="195"/>
      <c r="P330" s="195"/>
    </row>
    <row r="331" spans="3:16" s="177" customFormat="1" ht="14.4" x14ac:dyDescent="0.3">
      <c r="C331" s="400"/>
      <c r="D331" s="195"/>
      <c r="E331" s="195"/>
      <c r="F331" s="195"/>
      <c r="G331" s="195"/>
      <c r="H331" s="195"/>
      <c r="I331" s="195"/>
      <c r="J331" s="195"/>
      <c r="K331" s="426"/>
      <c r="L331" s="425"/>
      <c r="M331" s="195"/>
      <c r="N331" s="195"/>
      <c r="O331" s="195"/>
      <c r="P331" s="195"/>
    </row>
    <row r="332" spans="3:16" s="177" customFormat="1" ht="14.4" x14ac:dyDescent="0.3">
      <c r="C332" s="400"/>
      <c r="D332" s="195"/>
      <c r="E332" s="195"/>
      <c r="F332" s="195"/>
      <c r="G332" s="195"/>
      <c r="H332" s="195"/>
      <c r="I332" s="195"/>
      <c r="J332" s="195"/>
      <c r="K332" s="426"/>
      <c r="L332" s="425"/>
      <c r="M332" s="195"/>
      <c r="N332" s="195"/>
      <c r="O332" s="195"/>
      <c r="P332" s="195"/>
    </row>
    <row r="333" spans="3:16" s="177" customFormat="1" ht="14.4" x14ac:dyDescent="0.3">
      <c r="C333" s="400"/>
      <c r="D333" s="195"/>
      <c r="E333" s="195"/>
      <c r="F333" s="195"/>
      <c r="G333" s="195"/>
      <c r="H333" s="195"/>
      <c r="I333" s="195"/>
      <c r="J333" s="195"/>
      <c r="K333" s="426"/>
      <c r="L333" s="425"/>
      <c r="M333" s="195"/>
      <c r="N333" s="195"/>
      <c r="O333" s="195"/>
      <c r="P333" s="195"/>
    </row>
    <row r="334" spans="3:16" s="177" customFormat="1" ht="15" thickBot="1" x14ac:dyDescent="0.35">
      <c r="C334" s="409"/>
      <c r="D334" s="408"/>
      <c r="E334" s="408"/>
      <c r="F334" s="408"/>
      <c r="G334" s="408"/>
      <c r="H334" s="408"/>
      <c r="I334" s="408"/>
      <c r="J334" s="408"/>
      <c r="K334" s="408"/>
      <c r="L334" s="432"/>
      <c r="M334" s="195"/>
      <c r="N334" s="195"/>
      <c r="O334" s="195"/>
      <c r="P334" s="195"/>
    </row>
    <row r="335" spans="3:16" s="177" customFormat="1" ht="14.4" x14ac:dyDescent="0.3">
      <c r="C335" s="195"/>
      <c r="D335" s="195"/>
      <c r="E335" s="195"/>
      <c r="F335" s="195"/>
      <c r="G335" s="195"/>
      <c r="H335" s="195"/>
      <c r="I335" s="411"/>
      <c r="J335" s="195"/>
      <c r="K335" s="426"/>
      <c r="L335" s="195"/>
      <c r="M335" s="195"/>
      <c r="N335" s="195"/>
      <c r="O335" s="195"/>
      <c r="P335" s="195"/>
    </row>
    <row r="336" spans="3:16" s="177" customFormat="1" ht="14.4" x14ac:dyDescent="0.3">
      <c r="C336" s="195"/>
      <c r="D336" s="195"/>
      <c r="E336" s="195"/>
      <c r="F336" s="195"/>
      <c r="G336" s="195"/>
      <c r="H336" s="195"/>
      <c r="I336" s="195"/>
      <c r="J336" s="195"/>
      <c r="K336" s="195"/>
      <c r="L336" s="195"/>
      <c r="M336" s="195"/>
      <c r="N336" s="195"/>
      <c r="O336" s="195"/>
      <c r="P336" s="195"/>
    </row>
    <row r="337" spans="3:18" s="177" customFormat="1" ht="14.4" x14ac:dyDescent="0.3">
      <c r="C337" s="195"/>
      <c r="D337" s="195"/>
      <c r="E337" s="195"/>
      <c r="F337" s="195"/>
      <c r="G337" s="195"/>
      <c r="H337" s="195"/>
      <c r="I337" s="411"/>
      <c r="J337" s="195"/>
      <c r="K337" s="195"/>
      <c r="L337" s="195"/>
      <c r="M337" s="195"/>
      <c r="N337" s="195"/>
      <c r="O337" s="195"/>
      <c r="P337" s="195"/>
      <c r="Q337" s="195"/>
      <c r="R337" s="195"/>
    </row>
    <row r="338" spans="3:18" s="177" customFormat="1" ht="14.4" x14ac:dyDescent="0.3">
      <c r="C338" s="195"/>
      <c r="D338" s="195"/>
      <c r="E338" s="195"/>
      <c r="F338" s="195"/>
      <c r="G338" s="195"/>
      <c r="H338" s="195"/>
      <c r="I338" s="411"/>
      <c r="J338" s="433"/>
      <c r="K338" s="195"/>
      <c r="L338" s="195"/>
      <c r="M338" s="195"/>
      <c r="N338" s="195"/>
      <c r="O338" s="195"/>
      <c r="P338" s="195"/>
      <c r="Q338" s="195"/>
      <c r="R338" s="195"/>
    </row>
    <row r="339" spans="3:18" s="177" customFormat="1" ht="14.4" x14ac:dyDescent="0.3">
      <c r="C339" s="195"/>
      <c r="D339" s="195"/>
      <c r="E339" s="195"/>
      <c r="F339" s="195"/>
      <c r="G339" s="195"/>
      <c r="H339" s="195"/>
      <c r="I339" s="411"/>
      <c r="J339" s="433"/>
      <c r="K339" s="195"/>
      <c r="L339" s="195"/>
      <c r="M339" s="195"/>
      <c r="N339" s="195"/>
      <c r="O339" s="195"/>
      <c r="P339" s="195"/>
      <c r="Q339" s="195"/>
      <c r="R339" s="195"/>
    </row>
    <row r="340" spans="3:18" s="177" customFormat="1" ht="15.9" customHeight="1" x14ac:dyDescent="0.3">
      <c r="C340" s="195"/>
      <c r="D340" s="195"/>
      <c r="E340" s="195"/>
      <c r="F340" s="195"/>
      <c r="G340" s="195"/>
      <c r="H340" s="195"/>
      <c r="I340" s="195"/>
      <c r="J340" s="195"/>
      <c r="K340" s="195"/>
      <c r="L340" s="195"/>
      <c r="M340" s="195"/>
      <c r="N340" s="195"/>
      <c r="O340" s="195"/>
      <c r="P340" s="195"/>
      <c r="Q340" s="195"/>
      <c r="R340" s="195"/>
    </row>
    <row r="341" spans="3:18" s="177" customFormat="1" ht="15.9" hidden="1" customHeight="1" x14ac:dyDescent="0.3">
      <c r="C341" s="195"/>
      <c r="D341" s="195"/>
      <c r="E341" s="195"/>
      <c r="F341" s="195"/>
      <c r="G341" s="195"/>
      <c r="H341" s="195"/>
      <c r="I341" s="195"/>
      <c r="J341" s="195"/>
      <c r="K341" s="195"/>
      <c r="L341" s="195"/>
      <c r="M341" s="195"/>
      <c r="N341" s="195"/>
      <c r="O341" s="195"/>
      <c r="P341" s="195"/>
      <c r="Q341" s="195"/>
      <c r="R341" s="195"/>
    </row>
    <row r="342" spans="3:18" s="177" customFormat="1" ht="17.100000000000001" hidden="1" customHeight="1" x14ac:dyDescent="0.3">
      <c r="C342" s="195"/>
      <c r="D342" s="195"/>
      <c r="E342" s="195"/>
      <c r="F342" s="195"/>
      <c r="G342" s="195"/>
      <c r="H342" s="195"/>
      <c r="I342" s="195"/>
      <c r="J342" s="195"/>
      <c r="K342" s="195"/>
      <c r="L342" s="195"/>
      <c r="M342" s="195"/>
      <c r="N342" s="195"/>
      <c r="O342" s="195"/>
      <c r="P342" s="195"/>
      <c r="Q342" s="195"/>
      <c r="R342" s="195"/>
    </row>
    <row r="343" spans="3:18" s="177" customFormat="1" ht="17.100000000000001" hidden="1" customHeight="1" x14ac:dyDescent="0.3">
      <c r="C343" s="195"/>
      <c r="D343" s="195"/>
      <c r="E343" s="195"/>
      <c r="F343" s="195"/>
      <c r="G343" s="195"/>
      <c r="H343" s="195"/>
      <c r="I343" s="195"/>
      <c r="J343" s="195"/>
      <c r="K343" s="195"/>
      <c r="L343" s="195"/>
      <c r="M343" s="195"/>
      <c r="N343" s="195"/>
      <c r="O343" s="195"/>
      <c r="P343" s="195"/>
      <c r="Q343" s="195"/>
      <c r="R343" s="195"/>
    </row>
    <row r="344" spans="3:18" s="177" customFormat="1" ht="17.100000000000001" hidden="1" customHeight="1" x14ac:dyDescent="0.3">
      <c r="C344" s="195"/>
      <c r="D344" s="195"/>
      <c r="E344" s="195"/>
      <c r="F344" s="195"/>
      <c r="G344" s="195"/>
      <c r="H344" s="195"/>
      <c r="I344" s="195"/>
      <c r="J344" s="195"/>
      <c r="K344" s="195"/>
      <c r="L344" s="195"/>
      <c r="M344" s="195"/>
      <c r="N344" s="195"/>
      <c r="O344" s="195"/>
      <c r="P344" s="195"/>
      <c r="Q344" s="195"/>
      <c r="R344" s="195"/>
    </row>
    <row r="345" spans="3:18" s="177" customFormat="1" ht="17.100000000000001" hidden="1" customHeight="1" x14ac:dyDescent="0.3">
      <c r="C345" s="195"/>
      <c r="D345" s="195"/>
      <c r="E345" s="195"/>
      <c r="F345" s="195"/>
      <c r="G345" s="195"/>
      <c r="H345" s="195"/>
      <c r="I345" s="195"/>
      <c r="J345" s="195"/>
      <c r="K345" s="195"/>
      <c r="L345" s="195"/>
      <c r="M345" s="195"/>
      <c r="N345" s="195"/>
      <c r="O345" s="195"/>
      <c r="P345" s="195"/>
      <c r="Q345" s="195"/>
      <c r="R345" s="195"/>
    </row>
    <row r="346" spans="3:18" s="177" customFormat="1" ht="17.100000000000001" hidden="1" customHeight="1" x14ac:dyDescent="0.3">
      <c r="C346" s="195"/>
      <c r="D346" s="195"/>
      <c r="E346" s="195"/>
      <c r="F346" s="195"/>
      <c r="G346" s="195"/>
      <c r="H346" s="195"/>
      <c r="I346" s="195"/>
      <c r="J346" s="195"/>
      <c r="K346" s="195"/>
      <c r="L346" s="195"/>
      <c r="M346" s="195"/>
      <c r="N346" s="195"/>
      <c r="O346" s="195"/>
      <c r="P346" s="195"/>
      <c r="Q346" s="195"/>
      <c r="R346" s="195"/>
    </row>
    <row r="347" spans="3:18" s="177" customFormat="1" ht="17.100000000000001" hidden="1" customHeight="1" x14ac:dyDescent="0.3">
      <c r="C347" s="195"/>
      <c r="D347" s="195"/>
      <c r="E347" s="195"/>
      <c r="F347" s="195"/>
      <c r="G347" s="195"/>
      <c r="H347" s="195"/>
      <c r="I347" s="195"/>
      <c r="J347" s="195"/>
      <c r="K347" s="195"/>
      <c r="L347" s="195"/>
      <c r="M347" s="195"/>
      <c r="N347" s="195"/>
      <c r="O347" s="195"/>
      <c r="P347" s="195"/>
      <c r="Q347" s="195"/>
      <c r="R347" s="195"/>
    </row>
    <row r="348" spans="3:18" s="177" customFormat="1" ht="17.100000000000001" hidden="1" customHeight="1" x14ac:dyDescent="0.3">
      <c r="C348" s="195"/>
      <c r="D348" s="195"/>
      <c r="E348" s="195"/>
      <c r="F348" s="195"/>
      <c r="G348" s="195"/>
      <c r="H348" s="195"/>
      <c r="I348" s="195"/>
      <c r="J348" s="195"/>
      <c r="K348" s="195"/>
      <c r="L348" s="195"/>
      <c r="M348" s="195"/>
      <c r="N348" s="195"/>
      <c r="O348" s="195"/>
      <c r="P348" s="195"/>
      <c r="Q348" s="195"/>
      <c r="R348" s="195"/>
    </row>
    <row r="349" spans="3:18" s="177" customFormat="1" ht="17.100000000000001" hidden="1" customHeight="1" x14ac:dyDescent="0.3">
      <c r="C349" s="195"/>
      <c r="D349" s="195"/>
      <c r="E349" s="195"/>
      <c r="F349" s="195"/>
      <c r="G349" s="195"/>
      <c r="H349" s="195"/>
      <c r="I349" s="195"/>
      <c r="J349" s="195"/>
      <c r="K349" s="195"/>
      <c r="L349" s="195"/>
      <c r="M349" s="195"/>
      <c r="N349" s="195"/>
      <c r="O349" s="195"/>
      <c r="P349" s="195"/>
      <c r="Q349" s="195"/>
      <c r="R349" s="195"/>
    </row>
    <row r="350" spans="3:18" s="177" customFormat="1" ht="17.100000000000001" hidden="1" customHeight="1" x14ac:dyDescent="0.3">
      <c r="C350" s="195"/>
      <c r="D350" s="195"/>
      <c r="E350" s="195"/>
      <c r="F350" s="195"/>
      <c r="G350" s="195"/>
      <c r="H350" s="195"/>
      <c r="I350" s="195"/>
      <c r="J350" s="195"/>
      <c r="K350" s="195"/>
      <c r="L350" s="195"/>
      <c r="M350" s="195"/>
      <c r="N350" s="195"/>
      <c r="O350" s="195"/>
      <c r="P350" s="195"/>
      <c r="Q350" s="195"/>
      <c r="R350" s="195"/>
    </row>
    <row r="351" spans="3:18" s="177" customFormat="1" ht="17.100000000000001" hidden="1" customHeight="1" x14ac:dyDescent="0.3">
      <c r="C351" s="195"/>
      <c r="D351" s="195"/>
      <c r="E351" s="195"/>
      <c r="F351" s="195"/>
      <c r="G351" s="195"/>
      <c r="H351" s="195"/>
      <c r="I351" s="195"/>
      <c r="J351" s="195"/>
      <c r="K351" s="195"/>
      <c r="L351" s="195"/>
      <c r="M351" s="195"/>
      <c r="N351" s="195"/>
      <c r="O351" s="195"/>
      <c r="P351" s="195"/>
      <c r="Q351" s="195"/>
      <c r="R351" s="195"/>
    </row>
    <row r="352" spans="3:18" s="177" customFormat="1" ht="17.100000000000001" hidden="1" customHeight="1" x14ac:dyDescent="0.3">
      <c r="C352" s="195"/>
      <c r="D352" s="195"/>
      <c r="E352" s="195"/>
      <c r="F352" s="195"/>
      <c r="G352" s="195"/>
      <c r="H352" s="195"/>
      <c r="I352" s="195"/>
      <c r="J352" s="195"/>
      <c r="K352" s="195"/>
      <c r="L352" s="195"/>
      <c r="M352" s="195"/>
      <c r="N352" s="195"/>
      <c r="O352" s="195"/>
      <c r="P352" s="195"/>
      <c r="Q352" s="195"/>
      <c r="R352" s="195"/>
    </row>
    <row r="353" spans="3:18" s="177" customFormat="1" ht="17.100000000000001" hidden="1" customHeight="1" x14ac:dyDescent="0.3">
      <c r="C353" s="195"/>
      <c r="D353" s="195"/>
      <c r="E353" s="195"/>
      <c r="F353" s="195"/>
      <c r="G353" s="195"/>
      <c r="H353" s="195"/>
      <c r="I353" s="195"/>
      <c r="J353" s="195"/>
      <c r="K353" s="195"/>
      <c r="L353" s="195"/>
      <c r="M353" s="195"/>
      <c r="N353" s="195"/>
      <c r="O353" s="195"/>
      <c r="P353" s="195"/>
      <c r="Q353" s="195"/>
      <c r="R353" s="195"/>
    </row>
    <row r="354" spans="3:18" s="177" customFormat="1" ht="17.100000000000001" hidden="1" customHeight="1" x14ac:dyDescent="0.3">
      <c r="C354" s="195"/>
      <c r="D354" s="195"/>
      <c r="E354" s="195"/>
      <c r="F354" s="195"/>
      <c r="G354" s="195"/>
      <c r="H354" s="195"/>
      <c r="I354" s="195"/>
      <c r="J354" s="195"/>
      <c r="K354" s="195"/>
      <c r="L354" s="195"/>
      <c r="M354" s="195"/>
      <c r="N354" s="195"/>
      <c r="O354" s="195"/>
      <c r="P354" s="195"/>
      <c r="Q354" s="195"/>
      <c r="R354" s="195"/>
    </row>
    <row r="355" spans="3:18" s="177" customFormat="1" ht="17.100000000000001" hidden="1" customHeight="1" x14ac:dyDescent="0.3">
      <c r="C355" s="195"/>
      <c r="D355" s="195"/>
      <c r="E355" s="195"/>
      <c r="F355" s="195"/>
      <c r="G355" s="195"/>
      <c r="H355" s="195"/>
      <c r="I355" s="195"/>
      <c r="J355" s="195"/>
      <c r="K355" s="195"/>
      <c r="L355" s="195"/>
      <c r="M355" s="195"/>
      <c r="N355" s="195"/>
      <c r="O355" s="195"/>
      <c r="P355" s="195"/>
      <c r="Q355" s="195"/>
      <c r="R355" s="195"/>
    </row>
    <row r="356" spans="3:18" s="177" customFormat="1" ht="17.100000000000001" hidden="1" customHeight="1" x14ac:dyDescent="0.3">
      <c r="C356" s="195"/>
      <c r="D356" s="195"/>
      <c r="E356" s="195"/>
      <c r="F356" s="195"/>
      <c r="G356" s="195"/>
      <c r="H356" s="195"/>
      <c r="I356" s="195"/>
      <c r="J356" s="195"/>
      <c r="K356" s="195"/>
      <c r="L356" s="195"/>
      <c r="M356" s="195"/>
      <c r="N356" s="195"/>
      <c r="O356" s="195"/>
      <c r="P356" s="195"/>
      <c r="Q356" s="195"/>
      <c r="R356" s="195"/>
    </row>
    <row r="357" spans="3:18" s="177" customFormat="1" ht="17.100000000000001" hidden="1" customHeight="1" x14ac:dyDescent="0.3">
      <c r="C357" s="195"/>
      <c r="D357" s="195"/>
      <c r="E357" s="195"/>
      <c r="F357" s="195"/>
      <c r="G357" s="195"/>
      <c r="H357" s="195"/>
      <c r="I357" s="195"/>
      <c r="J357" s="195"/>
      <c r="K357" s="195"/>
      <c r="L357" s="195"/>
      <c r="M357" s="195"/>
      <c r="N357" s="195"/>
      <c r="O357" s="195"/>
      <c r="P357" s="195"/>
      <c r="Q357" s="195"/>
      <c r="R357" s="195"/>
    </row>
    <row r="358" spans="3:18" s="177" customFormat="1" ht="17.100000000000001" hidden="1" customHeight="1" x14ac:dyDescent="0.3">
      <c r="C358" s="195"/>
      <c r="D358" s="195"/>
      <c r="E358" s="195"/>
      <c r="F358" s="195"/>
      <c r="G358" s="195"/>
      <c r="H358" s="195"/>
      <c r="I358" s="195"/>
      <c r="J358" s="195"/>
      <c r="K358" s="195"/>
      <c r="L358" s="195"/>
      <c r="M358" s="195"/>
      <c r="N358" s="195"/>
      <c r="O358" s="195"/>
      <c r="P358" s="195"/>
      <c r="Q358" s="195"/>
      <c r="R358" s="195"/>
    </row>
    <row r="359" spans="3:18" s="177" customFormat="1" ht="17.100000000000001" hidden="1" customHeight="1" thickBot="1" x14ac:dyDescent="0.35">
      <c r="C359" s="195"/>
      <c r="D359" s="195"/>
      <c r="E359" s="195"/>
      <c r="F359" s="195"/>
      <c r="G359" s="195"/>
      <c r="H359" s="195"/>
      <c r="I359" s="195"/>
      <c r="J359" s="195"/>
      <c r="K359" s="195"/>
      <c r="L359" s="195"/>
      <c r="M359" s="195"/>
      <c r="N359" s="195"/>
      <c r="O359" s="195"/>
      <c r="P359" s="195"/>
      <c r="Q359" s="195"/>
      <c r="R359" s="195"/>
    </row>
    <row r="360" spans="3:18" s="177" customFormat="1" ht="17.100000000000001" hidden="1" customHeight="1" x14ac:dyDescent="0.3">
      <c r="C360" s="195"/>
      <c r="D360" s="195"/>
      <c r="E360" s="195"/>
      <c r="F360" s="195"/>
      <c r="G360" s="587" t="s">
        <v>330</v>
      </c>
      <c r="H360" s="588"/>
      <c r="I360" s="588"/>
      <c r="J360" s="588"/>
      <c r="K360" s="588"/>
      <c r="L360" s="588"/>
      <c r="M360" s="589"/>
      <c r="N360" s="195"/>
      <c r="O360" s="195"/>
      <c r="P360" s="195"/>
      <c r="Q360" s="195"/>
      <c r="R360" s="195"/>
    </row>
    <row r="361" spans="3:18" s="177" customFormat="1" ht="17.100000000000001" hidden="1" customHeight="1" x14ac:dyDescent="0.3">
      <c r="C361" s="195"/>
      <c r="D361" s="195"/>
      <c r="E361" s="195"/>
      <c r="F361" s="195"/>
      <c r="G361" s="275" t="s">
        <v>331</v>
      </c>
      <c r="H361" s="209" t="s">
        <v>332</v>
      </c>
      <c r="I361" s="209" t="s">
        <v>333</v>
      </c>
      <c r="J361" s="209" t="s">
        <v>334</v>
      </c>
      <c r="K361" s="209" t="s">
        <v>335</v>
      </c>
      <c r="L361" s="209" t="s">
        <v>336</v>
      </c>
      <c r="M361" s="210" t="s">
        <v>337</v>
      </c>
      <c r="N361" s="195"/>
      <c r="O361" s="434" t="s">
        <v>338</v>
      </c>
      <c r="P361" s="434" t="s">
        <v>339</v>
      </c>
      <c r="Q361" s="434" t="s">
        <v>12</v>
      </c>
      <c r="R361" s="434" t="s">
        <v>340</v>
      </c>
    </row>
    <row r="362" spans="3:18" s="177" customFormat="1" ht="17.100000000000001" hidden="1" customHeight="1" x14ac:dyDescent="0.3">
      <c r="C362" s="195"/>
      <c r="D362" s="195"/>
      <c r="E362" s="435" t="s">
        <v>341</v>
      </c>
      <c r="F362" s="195"/>
      <c r="G362" s="280" t="s">
        <v>141</v>
      </c>
      <c r="H362" s="281">
        <f>IFERROR(G134*FabricMapping!$J$72,0)*R362</f>
        <v>7290</v>
      </c>
      <c r="I362" s="281">
        <f t="shared" ref="I362:I365" si="13">IFERROR(H362*$G$15,0)</f>
        <v>1822500</v>
      </c>
      <c r="J362" s="281">
        <f>IFERROR((I362*52)/12,0)</f>
        <v>7897500</v>
      </c>
      <c r="K362" s="282">
        <f>IFERROR(H362/$H$373,0)</f>
        <v>8.2685873078886182E-2</v>
      </c>
      <c r="L362" s="283" t="str">
        <f>IFERROR(VLOOKUP(H362,FabricMapping!$C$11:$F$21,4,1),0)</f>
        <v>F8</v>
      </c>
      <c r="M362" s="284">
        <f>IFERROR(H362/VLOOKUP(L362,FabricMapping!$F$11:$J$21,3,0),0)</f>
        <v>0.6328125</v>
      </c>
      <c r="N362" s="195"/>
      <c r="O362" s="434">
        <f>FabricMapping!J74</f>
        <v>1</v>
      </c>
      <c r="P362" s="434">
        <f>O362</f>
        <v>1</v>
      </c>
      <c r="Q362" s="434">
        <f>P362</f>
        <v>1</v>
      </c>
      <c r="R362" s="435" t="b">
        <f>OR(O362:Q362)</f>
        <v>1</v>
      </c>
    </row>
    <row r="363" spans="3:18" s="177" customFormat="1" ht="17.100000000000001" hidden="1" customHeight="1" x14ac:dyDescent="0.3">
      <c r="C363" s="195"/>
      <c r="D363" s="195"/>
      <c r="E363" s="435" t="s">
        <v>342</v>
      </c>
      <c r="F363" s="195"/>
      <c r="G363" s="280" t="s">
        <v>142</v>
      </c>
      <c r="H363" s="281">
        <f>IFERROR(G166*FabricMapping!$H$66,0)*R363</f>
        <v>1224</v>
      </c>
      <c r="I363" s="281">
        <f t="shared" si="13"/>
        <v>306000</v>
      </c>
      <c r="J363" s="281">
        <f>IFERROR((I363*52)/12,0)</f>
        <v>1326000</v>
      </c>
      <c r="K363" s="282">
        <f t="shared" ref="K363:K372" si="14">IFERROR(H363/$H$373,0)</f>
        <v>1.3883060171269779E-2</v>
      </c>
      <c r="L363" s="283" t="str">
        <f>IFERROR(VLOOKUP(H363,FabricMapping!$C$11:$F$21,4,1),0)</f>
        <v>F2</v>
      </c>
      <c r="M363" s="284">
        <f>IFERROR(H363/VLOOKUP(L363,FabricMapping!$F$11:$J$21,3,0),0)</f>
        <v>0.42499999999999999</v>
      </c>
      <c r="N363" s="195"/>
      <c r="O363" s="434">
        <f>FabricMapping!H68</f>
        <v>1</v>
      </c>
      <c r="P363" s="434">
        <f>O363</f>
        <v>1</v>
      </c>
      <c r="Q363" s="434">
        <f>P363</f>
        <v>1</v>
      </c>
      <c r="R363" s="435" t="b">
        <f t="shared" ref="R363:R372" si="15">OR(O363:Q363)</f>
        <v>1</v>
      </c>
    </row>
    <row r="364" spans="3:18" s="177" customFormat="1" ht="17.100000000000001" hidden="1" customHeight="1" x14ac:dyDescent="0.3">
      <c r="C364" s="195"/>
      <c r="D364" s="195"/>
      <c r="E364" s="435" t="s">
        <v>343</v>
      </c>
      <c r="F364" s="195"/>
      <c r="G364" s="280" t="s">
        <v>143</v>
      </c>
      <c r="H364" s="281">
        <f>IFERROR(G80,0)*R364</f>
        <v>1318</v>
      </c>
      <c r="I364" s="281">
        <f t="shared" si="13"/>
        <v>329500</v>
      </c>
      <c r="J364" s="281">
        <f>IFERROR((I364*52)/12,0)</f>
        <v>1427833.3333333333</v>
      </c>
      <c r="K364" s="282">
        <f t="shared" si="14"/>
        <v>1.494924289684115E-2</v>
      </c>
      <c r="L364" s="283" t="str">
        <f>IFERROR(VLOOKUP(H364,FabricMapping!$C$11:$F$21,4,1),0)</f>
        <v>F2</v>
      </c>
      <c r="M364" s="284">
        <f>IFERROR(H364/VLOOKUP(L364,FabricMapping!$F$11:$J$21,3,0),0)</f>
        <v>0.45763888888888887</v>
      </c>
      <c r="N364" s="195"/>
      <c r="O364" s="434">
        <f>IF(UserInputs!$D$4="Data Lakehouse",1,0)</f>
        <v>1</v>
      </c>
      <c r="P364" s="434">
        <f>IF(UserInputs!$D$4="Modern Data Warehouse",1,0)*ISNUMBER(SEARCH("*"&amp;P$361&amp;"*",$E364))</f>
        <v>0</v>
      </c>
      <c r="Q364" s="434">
        <f>IF(UserInputs!$D$4="Data Lakehouse-Spark only",1,0)*ISNUMBER(SEARCH("*"&amp;Q$361&amp;"*",$E364))</f>
        <v>0</v>
      </c>
      <c r="R364" s="435" t="b">
        <f t="shared" si="15"/>
        <v>1</v>
      </c>
    </row>
    <row r="365" spans="3:18" s="177" customFormat="1" ht="17.100000000000001" hidden="1" customHeight="1" x14ac:dyDescent="0.3">
      <c r="C365" s="195"/>
      <c r="D365" s="195"/>
      <c r="E365" s="435" t="s">
        <v>342</v>
      </c>
      <c r="F365" s="195"/>
      <c r="G365" s="280" t="s">
        <v>144</v>
      </c>
      <c r="H365" s="281">
        <f>IF(UserInputs!$D$4="Modern Data Warehouse",0,IFERROR(G105,0))*R365</f>
        <v>6715</v>
      </c>
      <c r="I365" s="281">
        <f t="shared" si="13"/>
        <v>1678750</v>
      </c>
      <c r="J365" s="281">
        <f>IFERROR((I365*52)/12,0)</f>
        <v>7274583.333333333</v>
      </c>
      <c r="K365" s="282">
        <f t="shared" si="14"/>
        <v>7.616401066182725E-2</v>
      </c>
      <c r="L365" s="283" t="str">
        <f>IFERROR(VLOOKUP(H365,FabricMapping!$C$11:$F$21,4,1),0)</f>
        <v>F8</v>
      </c>
      <c r="M365" s="284">
        <f>IFERROR(H365/VLOOKUP(L365,FabricMapping!$F$11:$J$21,3,0),0)</f>
        <v>0.58289930555555558</v>
      </c>
      <c r="N365" s="195"/>
      <c r="O365" s="434">
        <f>IF(UserInputs!$D$4="Data Lakehouse",1,0)</f>
        <v>1</v>
      </c>
      <c r="P365" s="434">
        <f>IF(UserInputs!$D$4="Modern Data Warehouse",1,0)*ISNUMBER(SEARCH("*"&amp;P$361&amp;"*",$E365))</f>
        <v>0</v>
      </c>
      <c r="Q365" s="434">
        <f>IF(UserInputs!$D$4="Data Lakehouse-Spark only",1,0)*ISNUMBER(SEARCH("*"&amp;Q$361&amp;"*",$E365))</f>
        <v>0</v>
      </c>
      <c r="R365" s="435" t="b">
        <f t="shared" si="15"/>
        <v>1</v>
      </c>
    </row>
    <row r="366" spans="3:18" s="177" customFormat="1" ht="17.100000000000001" hidden="1" customHeight="1" x14ac:dyDescent="0.3">
      <c r="C366" s="195"/>
      <c r="D366" s="195"/>
      <c r="E366" s="435" t="s">
        <v>344</v>
      </c>
      <c r="F366" s="195"/>
      <c r="G366" s="280" t="s">
        <v>145</v>
      </c>
      <c r="H366" s="281">
        <f>IFERROR(G214,0)*R366</f>
        <v>7680</v>
      </c>
      <c r="I366" s="281">
        <f>IFERROR(H366*$G$3,0)</f>
        <v>15360</v>
      </c>
      <c r="J366" s="281">
        <f t="shared" ref="J366:J372" si="16">IFERROR((I366*52)/12,0)</f>
        <v>66560</v>
      </c>
      <c r="K366" s="282">
        <f t="shared" si="14"/>
        <v>8.7109397153065274E-2</v>
      </c>
      <c r="L366" s="283" t="str">
        <f>IFERROR(VLOOKUP(H366,FabricMapping!$C$11:$F$21,4,1),0)</f>
        <v>F8</v>
      </c>
      <c r="M366" s="284">
        <f>IFERROR(H366/VLOOKUP(L366,FabricMapping!$F$11:$J$21,3,0),0)</f>
        <v>0.66666666666666663</v>
      </c>
      <c r="N366" s="195"/>
      <c r="O366" s="434">
        <f>IF(UserInputs!$D$4="Data Lakehouse",1,0)</f>
        <v>1</v>
      </c>
      <c r="P366" s="434">
        <f>IF(UserInputs!$D$4="Modern Data Warehouse",1,0)*ISNUMBER(SEARCH("*"&amp;P$361&amp;"*",$E366))</f>
        <v>0</v>
      </c>
      <c r="Q366" s="434">
        <f>IF(UserInputs!$D$4="Data Lakehouse-Spark only",1,0)*ISNUMBER(SEARCH("*"&amp;Q$361&amp;"*",$E366))</f>
        <v>0</v>
      </c>
      <c r="R366" s="435" t="b">
        <f t="shared" si="15"/>
        <v>1</v>
      </c>
    </row>
    <row r="367" spans="3:18" s="177" customFormat="1" ht="17.100000000000001" hidden="1" customHeight="1" x14ac:dyDescent="0.3">
      <c r="C367" s="195"/>
      <c r="D367" s="195"/>
      <c r="E367" s="435" t="s">
        <v>344</v>
      </c>
      <c r="F367" s="195"/>
      <c r="G367" s="280" t="s">
        <v>146</v>
      </c>
      <c r="H367" s="281">
        <f>IFERROR(G230,0)*R367</f>
        <v>15360.000000000002</v>
      </c>
      <c r="I367" s="281">
        <f>IFERROR(H367*$G$3,0)</f>
        <v>30720.000000000004</v>
      </c>
      <c r="J367" s="281">
        <f t="shared" ref="J367" si="17">IFERROR((I367*52)/12,0)</f>
        <v>133120.00000000003</v>
      </c>
      <c r="K367" s="282">
        <f t="shared" ref="K367:K368" si="18">IFERROR(H367/$H$373,0)</f>
        <v>0.17421879430613058</v>
      </c>
      <c r="L367" s="283" t="str">
        <f>IFERROR(VLOOKUP(H367,FabricMapping!$C$11:$F$21,4,1),0)</f>
        <v>F16</v>
      </c>
      <c r="M367" s="284">
        <f>IFERROR(H367/VLOOKUP(L367,FabricMapping!$F$11:$J$21,3,0),0)</f>
        <v>0.66666666666666674</v>
      </c>
      <c r="N367" s="195"/>
      <c r="O367" s="434">
        <f>FabricMapping!O80</f>
        <v>1</v>
      </c>
      <c r="P367" s="434">
        <f>O367</f>
        <v>1</v>
      </c>
      <c r="Q367" s="434">
        <f>P367</f>
        <v>1</v>
      </c>
      <c r="R367" s="435" t="b">
        <f t="shared" si="15"/>
        <v>1</v>
      </c>
    </row>
    <row r="368" spans="3:18" s="177" customFormat="1" ht="16.5" hidden="1" customHeight="1" x14ac:dyDescent="0.3">
      <c r="C368" s="195"/>
      <c r="D368" s="195"/>
      <c r="E368" s="435" t="s">
        <v>343</v>
      </c>
      <c r="F368" s="195"/>
      <c r="G368" s="280" t="s">
        <v>147</v>
      </c>
      <c r="H368" s="281">
        <f>IFERROR(G193,0)*R368</f>
        <v>7680</v>
      </c>
      <c r="I368" s="281">
        <f>IFERROR(H368*$G$3,0)</f>
        <v>15360</v>
      </c>
      <c r="J368" s="281">
        <f t="shared" si="16"/>
        <v>66560</v>
      </c>
      <c r="K368" s="282">
        <f t="shared" si="18"/>
        <v>8.7109397153065274E-2</v>
      </c>
      <c r="L368" s="283" t="str">
        <f>IFERROR(VLOOKUP(H368,FabricMapping!$C$11:$F$21,4,1),0)</f>
        <v>F8</v>
      </c>
      <c r="M368" s="284">
        <f>IFERROR(H368/VLOOKUP(L368,FabricMapping!$F$11:$J$21,3,0),0)</f>
        <v>0.66666666666666663</v>
      </c>
      <c r="N368" s="195"/>
      <c r="O368" s="434">
        <f>IF(UserInputs!$D$4="Data Lakehouse",1,0)</f>
        <v>1</v>
      </c>
      <c r="P368" s="434">
        <f>IF(UserInputs!$D$4="Modern Data Warehouse",1,0)*ISNUMBER(SEARCH("*"&amp;P$361&amp;"*",$E368))</f>
        <v>0</v>
      </c>
      <c r="Q368" s="434">
        <f>IF(UserInputs!$D$4="Data Lakehouse-Spark only",1,0)*ISNUMBER(SEARCH("*"&amp;Q$361&amp;"*",$E368))</f>
        <v>0</v>
      </c>
      <c r="R368" s="435" t="b">
        <f t="shared" si="15"/>
        <v>1</v>
      </c>
    </row>
    <row r="369" spans="5:18" s="177" customFormat="1" ht="17.100000000000001" hidden="1" customHeight="1" x14ac:dyDescent="0.3">
      <c r="E369" s="435" t="s">
        <v>344</v>
      </c>
      <c r="F369" s="195"/>
      <c r="G369" s="280" t="s">
        <v>148</v>
      </c>
      <c r="H369" s="281">
        <f>IFERROR(G255,0)*R369</f>
        <v>14400</v>
      </c>
      <c r="I369" s="281">
        <f>IFERROR(H369*$G$3,0)</f>
        <v>28800</v>
      </c>
      <c r="J369" s="281">
        <f t="shared" si="16"/>
        <v>124800</v>
      </c>
      <c r="K369" s="282">
        <f t="shared" si="14"/>
        <v>0.1633301196619974</v>
      </c>
      <c r="L369" s="283" t="str">
        <f>IFERROR(VLOOKUP(H369,FabricMapping!$C$11:$F$21,4,1),0)</f>
        <v>F16</v>
      </c>
      <c r="M369" s="284">
        <f>IFERROR(H369/VLOOKUP(L369,FabricMapping!$F$11:$J$21,3,0),0)</f>
        <v>0.625</v>
      </c>
      <c r="N369" s="195"/>
      <c r="O369" s="434">
        <f>FabricMapping!$J$86</f>
        <v>1</v>
      </c>
      <c r="P369" s="434">
        <f>O369</f>
        <v>1</v>
      </c>
      <c r="Q369" s="434">
        <f>P369</f>
        <v>1</v>
      </c>
      <c r="R369" s="435" t="b">
        <f t="shared" si="15"/>
        <v>1</v>
      </c>
    </row>
    <row r="370" spans="5:18" s="177" customFormat="1" ht="17.100000000000001" hidden="1" customHeight="1" x14ac:dyDescent="0.3">
      <c r="E370" s="435" t="s">
        <v>343</v>
      </c>
      <c r="F370" s="195"/>
      <c r="G370" s="280" t="s">
        <v>149</v>
      </c>
      <c r="H370" s="281">
        <f>K317*R370</f>
        <v>17399</v>
      </c>
      <c r="I370" s="281">
        <f t="shared" ref="I370:I372" si="19">IFERROR(H370*$G$15,0)</f>
        <v>4349750</v>
      </c>
      <c r="J370" s="281">
        <f t="shared" si="16"/>
        <v>18848916.666666668</v>
      </c>
      <c r="K370" s="282">
        <f t="shared" si="14"/>
        <v>0.19734588555549254</v>
      </c>
      <c r="L370" s="283" t="str">
        <f>IFERROR(VLOOKUP(H370,FabricMapping!$C$11:$F$21,4,1),0)</f>
        <v>F16</v>
      </c>
      <c r="M370" s="284">
        <f>IFERROR(H370/VLOOKUP(L370,FabricMapping!$F$11:$J$21,3,0),0)</f>
        <v>0.75516493055555556</v>
      </c>
      <c r="N370" s="195"/>
      <c r="O370" s="434">
        <f>IF(UserInputs!$D$4="Data Lakehouse",1,0)</f>
        <v>1</v>
      </c>
      <c r="P370" s="434">
        <f>IF(UserInputs!$D$4="Modern Data Warehouse",1,0)*ISNUMBER(SEARCH("*"&amp;P$361&amp;"*",$E370))</f>
        <v>0</v>
      </c>
      <c r="Q370" s="434">
        <f>IF(UserInputs!$D$4="Data Lakehouse-Spark only",1,0)*ISNUMBER(SEARCH("*"&amp;Q$361&amp;"*",$E370))</f>
        <v>0</v>
      </c>
      <c r="R370" s="435" t="b">
        <f t="shared" si="15"/>
        <v>1</v>
      </c>
    </row>
    <row r="371" spans="5:18" s="177" customFormat="1" ht="17.100000000000001" hidden="1" customHeight="1" x14ac:dyDescent="0.3">
      <c r="E371" s="435" t="s">
        <v>343</v>
      </c>
      <c r="F371" s="195"/>
      <c r="G371" s="280" t="s">
        <v>150</v>
      </c>
      <c r="H371" s="281">
        <f>K299*R371</f>
        <v>459</v>
      </c>
      <c r="I371" s="281">
        <f t="shared" si="19"/>
        <v>114750</v>
      </c>
      <c r="J371" s="281">
        <f t="shared" si="16"/>
        <v>497250</v>
      </c>
      <c r="K371" s="282">
        <f t="shared" si="14"/>
        <v>5.206147564226167E-3</v>
      </c>
      <c r="L371" s="283" t="str">
        <f>IFERROR(VLOOKUP(H371,FabricMapping!$C$11:$F$21,4,1),0)</f>
        <v>F2</v>
      </c>
      <c r="M371" s="284">
        <f>IFERROR(H371/VLOOKUP(L371,FabricMapping!$F$11:$J$21,3,0),0)</f>
        <v>0.15937499999999999</v>
      </c>
      <c r="N371" s="195"/>
      <c r="O371" s="434">
        <f>IF(UserInputs!$D$4="Data Lakehouse",1,0)</f>
        <v>1</v>
      </c>
      <c r="P371" s="434">
        <f>IF(UserInputs!$D$4="Modern Data Warehouse",1,0)*ISNUMBER(SEARCH("*"&amp;P$361&amp;"*",$E371))</f>
        <v>0</v>
      </c>
      <c r="Q371" s="434">
        <f>IF(UserInputs!$D$4="Data Lakehouse-Spark only",1,0)*ISNUMBER(SEARCH("*"&amp;Q$361&amp;"*",$E371))</f>
        <v>0</v>
      </c>
      <c r="R371" s="435" t="b">
        <f t="shared" si="15"/>
        <v>1</v>
      </c>
    </row>
    <row r="372" spans="5:18" s="177" customFormat="1" ht="17.100000000000001" hidden="1" customHeight="1" x14ac:dyDescent="0.3">
      <c r="E372" s="435" t="s">
        <v>343</v>
      </c>
      <c r="F372" s="195"/>
      <c r="G372" s="280" t="s">
        <v>151</v>
      </c>
      <c r="H372" s="281">
        <f>K311*R372</f>
        <v>8640</v>
      </c>
      <c r="I372" s="281">
        <f t="shared" si="19"/>
        <v>2160000</v>
      </c>
      <c r="J372" s="281">
        <f t="shared" si="16"/>
        <v>9360000</v>
      </c>
      <c r="K372" s="282">
        <f t="shared" si="14"/>
        <v>9.7998071797198438E-2</v>
      </c>
      <c r="L372" s="283" t="str">
        <f>IFERROR(VLOOKUP(H372,FabricMapping!$C$11:$F$21,4,1),0)</f>
        <v>F8</v>
      </c>
      <c r="M372" s="284">
        <f>IFERROR(H372/VLOOKUP(L372,FabricMapping!$F$11:$J$21,3,0),0)</f>
        <v>0.75</v>
      </c>
      <c r="N372" s="195"/>
      <c r="O372" s="434">
        <f>IF(UserInputs!$D$4="Data Lakehouse",1,0)</f>
        <v>1</v>
      </c>
      <c r="P372" s="434">
        <f>IF(UserInputs!$D$4="Modern Data Warehouse",1,0)*ISNUMBER(SEARCH("*"&amp;P$361&amp;"*",$E372))</f>
        <v>0</v>
      </c>
      <c r="Q372" s="434">
        <f>IF(UserInputs!$D$4="Data Lakehouse-Spark only",1,0)*ISNUMBER(SEARCH("*"&amp;Q$361&amp;"*",$E372))</f>
        <v>0</v>
      </c>
      <c r="R372" s="435" t="b">
        <f t="shared" si="15"/>
        <v>1</v>
      </c>
    </row>
    <row r="373" spans="5:18" s="177" customFormat="1" ht="17.100000000000001" hidden="1" customHeight="1" x14ac:dyDescent="0.3">
      <c r="E373" s="195"/>
      <c r="F373" s="195"/>
      <c r="G373" s="280" t="s">
        <v>345</v>
      </c>
      <c r="H373" s="281">
        <f>SUM(H362:H372)</f>
        <v>88165</v>
      </c>
      <c r="I373" s="281">
        <f>IFERROR(SUM(I362:I372),0)</f>
        <v>10851490</v>
      </c>
      <c r="J373" s="281">
        <f>IFERROR(SUM(J362:J372),0)</f>
        <v>47023123.333333336</v>
      </c>
      <c r="K373" s="282"/>
      <c r="L373" s="285" t="str">
        <f>IFERROR(VLOOKUP(H373,FabricMapping!$C$11:$F$21,4,1),0)</f>
        <v>F64</v>
      </c>
      <c r="M373" s="286">
        <f>IFERROR(H373/VLOOKUP(L373,FabricMapping!$F$11:$J$21,3,0),0)</f>
        <v>0.95665147569444442</v>
      </c>
      <c r="N373" s="195"/>
      <c r="O373" s="195"/>
      <c r="P373" s="195"/>
      <c r="Q373" s="195"/>
      <c r="R373" s="195"/>
    </row>
    <row r="374" spans="5:18" s="177" customFormat="1" ht="17.100000000000001" hidden="1" customHeight="1" x14ac:dyDescent="0.3">
      <c r="E374" s="195"/>
      <c r="F374" s="195"/>
      <c r="G374" s="280"/>
      <c r="H374" s="287"/>
      <c r="I374" s="287"/>
      <c r="J374" s="287"/>
      <c r="K374" s="282"/>
      <c r="L374" s="283"/>
      <c r="M374" s="288"/>
      <c r="N374" s="195"/>
      <c r="O374" s="195"/>
      <c r="P374" s="195"/>
      <c r="Q374" s="195"/>
      <c r="R374" s="195"/>
    </row>
    <row r="375" spans="5:18" s="177" customFormat="1" ht="17.100000000000001" hidden="1" customHeight="1" x14ac:dyDescent="0.3">
      <c r="E375" s="195"/>
      <c r="F375" s="195"/>
      <c r="G375" s="280" t="s">
        <v>346</v>
      </c>
      <c r="H375" s="287" t="str">
        <f>IFERROR(VLOOKUP(H373,FabricMapping!$C$11:$F$21,4,1),0)</f>
        <v>F64</v>
      </c>
      <c r="I375" s="287" t="str">
        <f>IFERROR(VLOOKUP(I373,FabricMapping!$D$11:$F$21,3,1),0)</f>
        <v>F2048</v>
      </c>
      <c r="J375" s="287" t="str">
        <f>IFERROR(VLOOKUP(J373,FabricMapping!$E$11:$F$21,2,1),0)</f>
        <v>F2048</v>
      </c>
      <c r="K375" s="287"/>
      <c r="L375" s="287"/>
      <c r="M375" s="288"/>
      <c r="N375" s="195"/>
      <c r="O375" s="195"/>
      <c r="P375" s="195"/>
      <c r="Q375" s="195"/>
      <c r="R375" s="195"/>
    </row>
    <row r="376" spans="5:18" s="177" customFormat="1" ht="17.100000000000001" hidden="1" customHeight="1" thickBot="1" x14ac:dyDescent="0.35">
      <c r="E376" s="195"/>
      <c r="F376" s="195"/>
      <c r="G376" s="289" t="s">
        <v>347</v>
      </c>
      <c r="H376" s="290">
        <f>IFERROR(H373/VLOOKUP(H375,FabricMapping!$F$11:$J$21,3,0),0)</f>
        <v>0.95665147569444442</v>
      </c>
      <c r="I376" s="290">
        <f>IFERROR(I373/VLOOKUP(I375,FabricMapping!$F$11:$J$21,4,0),0)</f>
        <v>0.52565268864707337</v>
      </c>
      <c r="J376" s="290">
        <f>IFERROR(J373/VLOOKUP(J375,FabricMapping!$F$11:$J$21,5,0),0)</f>
        <v>0.52565268864707348</v>
      </c>
      <c r="K376" s="291"/>
      <c r="L376" s="291"/>
      <c r="M376" s="292"/>
      <c r="N376" s="195"/>
      <c r="O376" s="195"/>
      <c r="P376" s="195"/>
      <c r="Q376" s="195"/>
      <c r="R376" s="195"/>
    </row>
    <row r="377" spans="5:18" s="177" customFormat="1" ht="17.100000000000001" hidden="1" customHeight="1" x14ac:dyDescent="0.3">
      <c r="E377" s="195"/>
      <c r="F377" s="195"/>
      <c r="G377" s="49"/>
      <c r="H377" s="49"/>
      <c r="I377" s="49"/>
      <c r="J377" s="49"/>
      <c r="K377" s="49"/>
      <c r="L377" s="49"/>
      <c r="M377" s="49"/>
      <c r="N377" s="195"/>
      <c r="O377" s="195"/>
      <c r="P377" s="195"/>
      <c r="Q377" s="195"/>
      <c r="R377" s="195"/>
    </row>
    <row r="378" spans="5:18" s="177" customFormat="1" ht="17.100000000000001" hidden="1" customHeight="1" x14ac:dyDescent="0.3">
      <c r="E378" s="195"/>
      <c r="F378" s="195"/>
      <c r="G378" s="195"/>
      <c r="H378" s="195"/>
      <c r="I378" s="195"/>
      <c r="J378" s="195"/>
      <c r="K378" s="195"/>
      <c r="L378" s="195"/>
      <c r="M378" s="195"/>
      <c r="N378" s="195"/>
      <c r="O378" s="195"/>
      <c r="P378" s="195"/>
      <c r="Q378" s="195"/>
      <c r="R378" s="195"/>
    </row>
    <row r="379" spans="5:18" s="177" customFormat="1" ht="17.100000000000001" hidden="1" customHeight="1" x14ac:dyDescent="0.3">
      <c r="E379" s="195"/>
      <c r="F379" s="195"/>
      <c r="G379" s="195"/>
      <c r="H379" s="195"/>
      <c r="I379" s="195"/>
      <c r="J379" s="195"/>
      <c r="K379" s="195"/>
      <c r="L379" s="195"/>
      <c r="M379" s="195"/>
      <c r="N379" s="195"/>
      <c r="O379" s="195"/>
      <c r="P379" s="195"/>
      <c r="Q379" s="195"/>
      <c r="R379" s="195"/>
    </row>
    <row r="380" spans="5:18" s="177" customFormat="1" ht="17.100000000000001" hidden="1" customHeight="1" x14ac:dyDescent="0.3">
      <c r="E380" s="195"/>
      <c r="F380" s="195"/>
      <c r="G380" s="195"/>
      <c r="H380" s="195"/>
      <c r="I380" s="195"/>
      <c r="J380" s="195"/>
      <c r="K380" s="195"/>
      <c r="L380" s="195"/>
      <c r="M380" s="195"/>
      <c r="N380" s="195"/>
      <c r="O380" s="195"/>
      <c r="P380" s="195"/>
      <c r="Q380" s="195"/>
      <c r="R380" s="195"/>
    </row>
    <row r="381" spans="5:18" s="177" customFormat="1" ht="17.100000000000001" hidden="1" customHeight="1" x14ac:dyDescent="0.3">
      <c r="E381" s="195"/>
      <c r="F381" s="195"/>
      <c r="G381" s="195"/>
      <c r="H381" s="195"/>
      <c r="I381" s="195"/>
      <c r="J381" s="195"/>
      <c r="K381" s="195"/>
      <c r="L381" s="195"/>
      <c r="M381" s="195"/>
      <c r="N381" s="195"/>
      <c r="O381" s="195"/>
      <c r="P381" s="195"/>
      <c r="Q381" s="195"/>
      <c r="R381" s="195"/>
    </row>
    <row r="382" spans="5:18" s="177" customFormat="1" ht="17.100000000000001" hidden="1" customHeight="1" x14ac:dyDescent="0.3">
      <c r="E382" s="195"/>
      <c r="F382" s="195"/>
      <c r="G382" s="195"/>
      <c r="H382" s="195"/>
      <c r="I382" s="195"/>
      <c r="J382" s="195"/>
      <c r="K382" s="195"/>
      <c r="L382" s="195"/>
      <c r="M382" s="195"/>
      <c r="N382" s="195"/>
      <c r="O382" s="195"/>
      <c r="P382" s="195"/>
      <c r="Q382" s="195"/>
      <c r="R382" s="195"/>
    </row>
    <row r="383" spans="5:18" s="177" customFormat="1" ht="17.100000000000001" hidden="1" customHeight="1" x14ac:dyDescent="0.3">
      <c r="E383" s="195"/>
      <c r="F383" s="195"/>
      <c r="G383" s="435"/>
      <c r="H383" s="435"/>
      <c r="I383" s="435"/>
      <c r="J383" s="436"/>
      <c r="K383" s="436"/>
      <c r="L383" s="436"/>
      <c r="M383" s="436"/>
      <c r="N383" s="436"/>
      <c r="O383" s="195"/>
      <c r="P383" s="195"/>
      <c r="Q383" s="195"/>
      <c r="R383" s="195"/>
    </row>
    <row r="384" spans="5:18" s="177" customFormat="1" ht="17.100000000000001" hidden="1" customHeight="1" x14ac:dyDescent="0.3">
      <c r="E384" s="195"/>
      <c r="F384" s="195"/>
      <c r="G384" s="435"/>
      <c r="H384" s="435"/>
      <c r="I384" s="437"/>
      <c r="J384" s="438"/>
      <c r="K384" s="438"/>
      <c r="L384" s="438"/>
      <c r="M384" s="438"/>
      <c r="N384" s="438"/>
      <c r="O384" s="195"/>
      <c r="P384" s="195"/>
      <c r="Q384" s="195"/>
      <c r="R384" s="195"/>
    </row>
    <row r="385" spans="5:18" s="177" customFormat="1" ht="17.100000000000001" hidden="1" customHeight="1" x14ac:dyDescent="0.3">
      <c r="E385" s="195"/>
      <c r="F385" s="195"/>
      <c r="G385" s="435"/>
      <c r="H385" s="435"/>
      <c r="I385" s="437"/>
      <c r="J385" s="438"/>
      <c r="K385" s="438"/>
      <c r="L385" s="438"/>
      <c r="M385" s="438"/>
      <c r="N385" s="438"/>
      <c r="O385" s="195"/>
      <c r="P385" s="195"/>
      <c r="Q385" s="195"/>
      <c r="R385" s="195"/>
    </row>
    <row r="386" spans="5:18" s="177" customFormat="1" ht="17.100000000000001" hidden="1" customHeight="1" x14ac:dyDescent="0.3">
      <c r="E386" s="195"/>
      <c r="F386" s="195"/>
      <c r="G386" s="435"/>
      <c r="H386" s="435"/>
      <c r="I386" s="437"/>
      <c r="J386" s="438"/>
      <c r="K386" s="438"/>
      <c r="L386" s="438"/>
      <c r="M386" s="438"/>
      <c r="N386" s="438"/>
      <c r="O386" s="195"/>
      <c r="P386" s="195"/>
      <c r="Q386" s="195"/>
      <c r="R386" s="195"/>
    </row>
    <row r="387" spans="5:18" s="177" customFormat="1" ht="17.100000000000001" hidden="1" customHeight="1" x14ac:dyDescent="0.3">
      <c r="E387" s="195"/>
      <c r="F387" s="195"/>
      <c r="G387" s="435"/>
      <c r="H387" s="435"/>
      <c r="I387" s="437"/>
      <c r="J387" s="438"/>
      <c r="K387" s="438"/>
      <c r="L387" s="438"/>
      <c r="M387" s="438"/>
      <c r="N387" s="438"/>
      <c r="O387" s="195"/>
      <c r="P387" s="195"/>
      <c r="Q387" s="195"/>
      <c r="R387" s="195"/>
    </row>
    <row r="388" spans="5:18" s="177" customFormat="1" ht="17.100000000000001" hidden="1" customHeight="1" x14ac:dyDescent="0.3">
      <c r="E388" s="195"/>
      <c r="F388" s="195"/>
      <c r="G388" s="435"/>
      <c r="H388" s="435"/>
      <c r="I388" s="437"/>
      <c r="J388" s="438"/>
      <c r="K388" s="438"/>
      <c r="L388" s="438"/>
      <c r="M388" s="438"/>
      <c r="N388" s="438"/>
      <c r="O388" s="195"/>
      <c r="P388" s="195"/>
      <c r="Q388" s="195"/>
      <c r="R388" s="195"/>
    </row>
    <row r="389" spans="5:18" s="177" customFormat="1" ht="17.100000000000001" hidden="1" customHeight="1" x14ac:dyDescent="0.3">
      <c r="E389" s="195"/>
      <c r="F389" s="195"/>
      <c r="G389" s="435"/>
      <c r="H389" s="435"/>
      <c r="I389" s="437"/>
      <c r="J389" s="438"/>
      <c r="K389" s="438"/>
      <c r="L389" s="438"/>
      <c r="M389" s="438"/>
      <c r="N389" s="438"/>
      <c r="O389" s="195"/>
      <c r="P389" s="195"/>
      <c r="Q389" s="195"/>
      <c r="R389" s="195"/>
    </row>
    <row r="390" spans="5:18" s="177" customFormat="1" ht="17.100000000000001" hidden="1" customHeight="1" x14ac:dyDescent="0.3">
      <c r="E390" s="195"/>
      <c r="F390" s="195"/>
      <c r="G390" s="435"/>
      <c r="H390" s="435"/>
      <c r="I390" s="437"/>
      <c r="J390" s="438"/>
      <c r="K390" s="438"/>
      <c r="L390" s="438"/>
      <c r="M390" s="438"/>
      <c r="N390" s="438"/>
      <c r="O390" s="195"/>
      <c r="P390" s="195"/>
      <c r="Q390" s="195"/>
      <c r="R390" s="195"/>
    </row>
    <row r="391" spans="5:18" s="177" customFormat="1" ht="17.100000000000001" hidden="1" customHeight="1" x14ac:dyDescent="0.3">
      <c r="E391" s="195"/>
      <c r="F391" s="195"/>
      <c r="G391" s="435"/>
      <c r="H391" s="435"/>
      <c r="I391" s="437"/>
      <c r="J391" s="438"/>
      <c r="K391" s="438"/>
      <c r="L391" s="438"/>
      <c r="M391" s="438"/>
      <c r="N391" s="438"/>
      <c r="O391" s="195"/>
      <c r="P391" s="195"/>
      <c r="Q391" s="195"/>
      <c r="R391" s="195"/>
    </row>
    <row r="392" spans="5:18" s="177" customFormat="1" ht="17.100000000000001" hidden="1" customHeight="1" x14ac:dyDescent="0.3">
      <c r="E392" s="195"/>
      <c r="F392" s="195"/>
      <c r="G392" s="49"/>
      <c r="H392" s="49"/>
      <c r="I392" s="49"/>
      <c r="J392" s="195"/>
      <c r="K392" s="195"/>
      <c r="L392" s="195"/>
      <c r="M392" s="195"/>
      <c r="N392" s="195"/>
      <c r="O392" s="195"/>
      <c r="P392" s="195"/>
      <c r="Q392" s="195"/>
      <c r="R392" s="195"/>
    </row>
    <row r="393" spans="5:18" s="177" customFormat="1" ht="17.100000000000001" hidden="1" customHeight="1" x14ac:dyDescent="0.3">
      <c r="E393" s="195"/>
      <c r="F393" s="195"/>
      <c r="G393" s="49"/>
      <c r="H393" s="49"/>
      <c r="I393" s="49"/>
      <c r="J393" s="195"/>
      <c r="K393" s="195"/>
      <c r="L393" s="195"/>
      <c r="M393" s="195"/>
      <c r="N393" s="195"/>
      <c r="O393" s="195"/>
      <c r="P393" s="195"/>
      <c r="Q393" s="195"/>
      <c r="R393" s="195"/>
    </row>
    <row r="394" spans="5:18" s="177" customFormat="1" ht="17.100000000000001" hidden="1" customHeight="1" x14ac:dyDescent="0.3">
      <c r="E394" s="195"/>
      <c r="F394" s="195"/>
      <c r="G394" s="49"/>
      <c r="H394" s="49"/>
      <c r="I394" s="49"/>
      <c r="J394" s="195"/>
      <c r="K394" s="195"/>
      <c r="L394" s="195"/>
      <c r="M394" s="195"/>
      <c r="N394" s="195"/>
      <c r="O394" s="195"/>
      <c r="P394" s="195"/>
      <c r="Q394" s="195"/>
      <c r="R394" s="195"/>
    </row>
    <row r="395" spans="5:18" s="177" customFormat="1" ht="17.100000000000001" hidden="1" customHeight="1" x14ac:dyDescent="0.3">
      <c r="E395" s="195"/>
      <c r="F395" s="195"/>
      <c r="G395" s="49"/>
      <c r="H395" s="49"/>
      <c r="I395" s="49"/>
      <c r="J395" s="195"/>
      <c r="K395" s="195"/>
      <c r="L395" s="195"/>
      <c r="M395" s="195"/>
      <c r="N395" s="195"/>
      <c r="O395" s="195"/>
      <c r="P395" s="195"/>
      <c r="Q395" s="195"/>
      <c r="R395" s="195"/>
    </row>
    <row r="396" spans="5:18" s="177" customFormat="1" ht="17.100000000000001" hidden="1" customHeight="1" x14ac:dyDescent="0.3">
      <c r="E396" s="195"/>
      <c r="F396" s="195"/>
      <c r="G396" s="195"/>
      <c r="H396" s="195"/>
      <c r="I396" s="195"/>
      <c r="J396" s="195"/>
      <c r="K396" s="195"/>
      <c r="L396" s="195"/>
      <c r="M396" s="195"/>
      <c r="N396" s="195"/>
      <c r="O396" s="195"/>
      <c r="P396" s="195"/>
      <c r="Q396" s="195"/>
      <c r="R396" s="195"/>
    </row>
    <row r="397" spans="5:18" s="177" customFormat="1" ht="17.100000000000001" hidden="1" customHeight="1" x14ac:dyDescent="0.3">
      <c r="E397" s="195"/>
      <c r="F397" s="195"/>
      <c r="G397" s="195"/>
      <c r="H397" s="195"/>
      <c r="I397" s="195"/>
      <c r="J397" s="195"/>
      <c r="K397" s="195"/>
      <c r="L397" s="195"/>
      <c r="M397" s="195"/>
      <c r="N397" s="195"/>
      <c r="O397" s="195"/>
      <c r="P397" s="195"/>
      <c r="Q397" s="195"/>
      <c r="R397" s="195"/>
    </row>
    <row r="398" spans="5:18" s="177" customFormat="1" ht="17.100000000000001" hidden="1" customHeight="1" x14ac:dyDescent="0.3">
      <c r="E398" s="195"/>
      <c r="F398" s="195"/>
      <c r="G398" s="195"/>
      <c r="H398" s="195"/>
      <c r="I398" s="195"/>
      <c r="J398" s="195"/>
      <c r="K398" s="195"/>
      <c r="L398" s="195"/>
      <c r="M398" s="195"/>
      <c r="N398" s="195"/>
      <c r="O398" s="195"/>
      <c r="P398" s="195"/>
      <c r="Q398" s="195"/>
      <c r="R398" s="195"/>
    </row>
    <row r="399" spans="5:18" s="177" customFormat="1" ht="17.100000000000001" hidden="1" customHeight="1" x14ac:dyDescent="0.3">
      <c r="E399" s="195"/>
      <c r="F399" s="195"/>
      <c r="G399" s="195"/>
      <c r="H399" s="195"/>
      <c r="I399" s="195"/>
      <c r="J399" s="195"/>
      <c r="K399" s="195"/>
      <c r="L399" s="195"/>
      <c r="M399" s="195"/>
      <c r="N399" s="195"/>
      <c r="O399" s="195"/>
      <c r="P399" s="195"/>
      <c r="Q399" s="195"/>
      <c r="R399" s="195"/>
    </row>
    <row r="400" spans="5:18" s="177" customFormat="1" ht="17.100000000000001" hidden="1" customHeight="1" x14ac:dyDescent="0.3">
      <c r="E400" s="195"/>
      <c r="F400" s="195"/>
      <c r="G400" s="195"/>
      <c r="H400" s="195"/>
      <c r="I400" s="195"/>
      <c r="J400" s="195"/>
      <c r="K400" s="195"/>
      <c r="L400" s="195"/>
      <c r="M400" s="195"/>
      <c r="N400" s="195"/>
      <c r="O400" s="195"/>
      <c r="P400" s="195"/>
      <c r="Q400" s="195"/>
      <c r="R400" s="195"/>
    </row>
    <row r="401" spans="7:14" s="177" customFormat="1" ht="17.100000000000001" hidden="1" customHeight="1" x14ac:dyDescent="0.3">
      <c r="G401" s="195"/>
      <c r="H401" s="195"/>
      <c r="I401" s="195"/>
      <c r="J401" s="195"/>
      <c r="K401" s="195"/>
      <c r="L401" s="195"/>
      <c r="M401" s="195"/>
      <c r="N401" s="195"/>
    </row>
    <row r="402" spans="7:14" s="177" customFormat="1" ht="17.100000000000001" hidden="1" customHeight="1" x14ac:dyDescent="0.3">
      <c r="G402" s="195"/>
      <c r="H402" s="195"/>
      <c r="I402" s="195"/>
      <c r="J402" s="195"/>
      <c r="K402" s="195"/>
      <c r="L402" s="195"/>
      <c r="M402" s="195"/>
      <c r="N402" s="195"/>
    </row>
    <row r="403" spans="7:14" s="177" customFormat="1" ht="17.100000000000001" hidden="1" customHeight="1" x14ac:dyDescent="0.3">
      <c r="G403" s="195"/>
      <c r="H403" s="195"/>
      <c r="I403" s="195"/>
      <c r="J403" s="195"/>
      <c r="K403" s="195"/>
      <c r="L403" s="195"/>
      <c r="M403" s="195"/>
      <c r="N403" s="195"/>
    </row>
    <row r="404" spans="7:14" s="177" customFormat="1" ht="17.100000000000001" hidden="1" customHeight="1" x14ac:dyDescent="0.3">
      <c r="G404" s="195"/>
      <c r="H404" s="195"/>
      <c r="I404" s="195"/>
      <c r="J404" s="195"/>
      <c r="K404" s="195"/>
      <c r="L404" s="195"/>
      <c r="M404" s="195"/>
      <c r="N404" s="195"/>
    </row>
    <row r="405" spans="7:14" s="177" customFormat="1" ht="17.100000000000001" hidden="1" customHeight="1" x14ac:dyDescent="0.3">
      <c r="G405" s="195"/>
      <c r="H405" s="195"/>
      <c r="I405" s="195"/>
      <c r="J405" s="195"/>
      <c r="K405" s="195"/>
      <c r="L405" s="195"/>
      <c r="M405" s="195"/>
      <c r="N405" s="195"/>
    </row>
    <row r="406" spans="7:14" s="177" customFormat="1" ht="17.100000000000001" hidden="1" customHeight="1" x14ac:dyDescent="0.3">
      <c r="G406" s="195"/>
      <c r="H406" s="195"/>
      <c r="I406" s="195"/>
      <c r="J406" s="195"/>
      <c r="K406" s="195"/>
      <c r="L406" s="195"/>
      <c r="M406" s="195"/>
      <c r="N406" s="195"/>
    </row>
    <row r="407" spans="7:14" s="177" customFormat="1" ht="17.100000000000001" hidden="1" customHeight="1" x14ac:dyDescent="0.3">
      <c r="G407" s="195"/>
      <c r="H407" s="195"/>
      <c r="I407" s="195"/>
      <c r="J407" s="195"/>
      <c r="K407" s="195"/>
      <c r="L407" s="195"/>
      <c r="M407" s="195"/>
      <c r="N407" s="195"/>
    </row>
    <row r="408" spans="7:14" s="177" customFormat="1" ht="17.100000000000001" hidden="1" customHeight="1" x14ac:dyDescent="0.3">
      <c r="G408" s="195"/>
      <c r="H408" s="195"/>
      <c r="I408" s="195"/>
      <c r="J408" s="195"/>
      <c r="K408" s="195"/>
      <c r="L408" s="195"/>
      <c r="M408" s="195"/>
      <c r="N408" s="195"/>
    </row>
    <row r="409" spans="7:14" s="177" customFormat="1" ht="17.100000000000001" hidden="1" customHeight="1" x14ac:dyDescent="0.3">
      <c r="G409" s="195"/>
      <c r="H409" s="195"/>
      <c r="I409" s="195"/>
      <c r="J409" s="195"/>
      <c r="K409" s="195"/>
      <c r="L409" s="195"/>
      <c r="M409" s="195"/>
      <c r="N409" s="195"/>
    </row>
    <row r="410" spans="7:14" s="177" customFormat="1" ht="17.100000000000001" hidden="1" customHeight="1" x14ac:dyDescent="0.3">
      <c r="G410" s="195"/>
      <c r="H410" s="195"/>
      <c r="I410" s="195"/>
      <c r="J410" s="195"/>
      <c r="K410" s="195"/>
      <c r="L410" s="195"/>
      <c r="M410" s="195"/>
      <c r="N410" s="195"/>
    </row>
    <row r="411" spans="7:14" s="177" customFormat="1" ht="17.100000000000001" hidden="1" customHeight="1" x14ac:dyDescent="0.3">
      <c r="G411" s="195"/>
      <c r="H411" s="195"/>
      <c r="I411" s="195"/>
      <c r="J411" s="195"/>
      <c r="K411" s="195"/>
      <c r="L411" s="195"/>
      <c r="M411" s="195"/>
      <c r="N411" s="195"/>
    </row>
    <row r="412" spans="7:14" s="177" customFormat="1" ht="17.100000000000001" hidden="1" customHeight="1" x14ac:dyDescent="0.3">
      <c r="G412" s="195"/>
      <c r="H412" s="195"/>
      <c r="I412" s="195"/>
      <c r="J412" s="195"/>
      <c r="K412" s="195"/>
      <c r="L412" s="195"/>
      <c r="M412" s="195"/>
      <c r="N412" s="195"/>
    </row>
    <row r="413" spans="7:14" s="177" customFormat="1" ht="17.100000000000001" hidden="1" customHeight="1" x14ac:dyDescent="0.3">
      <c r="G413" s="195"/>
      <c r="H413" s="195"/>
      <c r="I413" s="195"/>
      <c r="J413" s="195"/>
      <c r="K413" s="195"/>
      <c r="L413" s="195"/>
      <c r="M413" s="195"/>
      <c r="N413" s="195"/>
    </row>
    <row r="414" spans="7:14" s="177" customFormat="1" ht="17.100000000000001" hidden="1" customHeight="1" x14ac:dyDescent="0.3">
      <c r="G414" s="195"/>
      <c r="H414" s="195"/>
      <c r="I414" s="195"/>
      <c r="J414" s="195"/>
      <c r="K414" s="195"/>
      <c r="L414" s="195"/>
      <c r="M414" s="195"/>
      <c r="N414" s="195"/>
    </row>
    <row r="416" spans="7:14" ht="17.100000000000001" customHeight="1" x14ac:dyDescent="0.3"/>
    <row r="417" ht="17.100000000000001" customHeight="1" x14ac:dyDescent="0.3"/>
    <row r="418" ht="17.100000000000001" customHeight="1" x14ac:dyDescent="0.3"/>
    <row r="419" ht="17.100000000000001" customHeight="1" x14ac:dyDescent="0.3"/>
    <row r="420" ht="17.100000000000001" customHeight="1" x14ac:dyDescent="0.3"/>
    <row r="421" ht="17.100000000000001" customHeight="1" x14ac:dyDescent="0.3"/>
    <row r="422" ht="17.100000000000001" customHeight="1" x14ac:dyDescent="0.3"/>
    <row r="423" ht="17.100000000000001" customHeight="1" x14ac:dyDescent="0.3"/>
    <row r="424" ht="17.100000000000001" customHeight="1" x14ac:dyDescent="0.3"/>
    <row r="425" ht="17.100000000000001" customHeight="1" x14ac:dyDescent="0.3"/>
    <row r="426" ht="17.100000000000001" customHeight="1" x14ac:dyDescent="0.3"/>
    <row r="430" ht="17.100000000000001" customHeight="1" x14ac:dyDescent="0.3"/>
    <row r="431" ht="17.100000000000001" customHeight="1" x14ac:dyDescent="0.3"/>
    <row r="432" ht="17.100000000000001" customHeight="1" x14ac:dyDescent="0.3"/>
    <row r="433" ht="17.100000000000001" customHeight="1" x14ac:dyDescent="0.3"/>
  </sheetData>
  <sheetProtection algorithmName="SHA-512" hashValue="2dv0lAhnBQQzrsNF7iSDk63FmY7s+kiwGIPh9bpa6L2xZUy0T0MToXoE5qOVYwFnQ7c22PSLchmXD+Q7IWffDA==" saltValue="e93YBMsvlfVGjqXUDykX8A==" spinCount="100000" sheet="1" objects="1" scenarios="1" formatCells="0" formatColumns="0" formatRows="0"/>
  <mergeCells count="89">
    <mergeCell ref="E315:E328"/>
    <mergeCell ref="G274:K274"/>
    <mergeCell ref="J275:K275"/>
    <mergeCell ref="J276:K276"/>
    <mergeCell ref="E274:E276"/>
    <mergeCell ref="H275:I275"/>
    <mergeCell ref="H276:I276"/>
    <mergeCell ref="E307:E311"/>
    <mergeCell ref="E294:E303"/>
    <mergeCell ref="G315:K315"/>
    <mergeCell ref="J323:K323"/>
    <mergeCell ref="J324:K324"/>
    <mergeCell ref="G301:K301"/>
    <mergeCell ref="H302:K302"/>
    <mergeCell ref="E42:E55"/>
    <mergeCell ref="G42:K42"/>
    <mergeCell ref="E61:K61"/>
    <mergeCell ref="G88:K88"/>
    <mergeCell ref="H89:I89"/>
    <mergeCell ref="J89:K89"/>
    <mergeCell ref="G49:K49"/>
    <mergeCell ref="J53:K53"/>
    <mergeCell ref="J54:K54"/>
    <mergeCell ref="E88:E96"/>
    <mergeCell ref="H53:I53"/>
    <mergeCell ref="H54:I54"/>
    <mergeCell ref="J55:K55"/>
    <mergeCell ref="H55:I55"/>
    <mergeCell ref="H90:I90"/>
    <mergeCell ref="J90:K90"/>
    <mergeCell ref="H92:I92"/>
    <mergeCell ref="J92:K92"/>
    <mergeCell ref="J147:K147"/>
    <mergeCell ref="H93:I93"/>
    <mergeCell ref="J93:K93"/>
    <mergeCell ref="J148:K148"/>
    <mergeCell ref="J149:K149"/>
    <mergeCell ref="J150:K150"/>
    <mergeCell ref="E112:E120"/>
    <mergeCell ref="G112:K112"/>
    <mergeCell ref="G117:K117"/>
    <mergeCell ref="E142:E153"/>
    <mergeCell ref="G142:K142"/>
    <mergeCell ref="G144:K144"/>
    <mergeCell ref="J145:K145"/>
    <mergeCell ref="J146:K146"/>
    <mergeCell ref="G174:K174"/>
    <mergeCell ref="E179:E186"/>
    <mergeCell ref="G179:K179"/>
    <mergeCell ref="J181:K181"/>
    <mergeCell ref="J182:K182"/>
    <mergeCell ref="J183:K183"/>
    <mergeCell ref="J184:K184"/>
    <mergeCell ref="J185:K185"/>
    <mergeCell ref="J186:K186"/>
    <mergeCell ref="E201:E203"/>
    <mergeCell ref="G201:K201"/>
    <mergeCell ref="G202:H202"/>
    <mergeCell ref="J202:K202"/>
    <mergeCell ref="G203:H203"/>
    <mergeCell ref="J203:K203"/>
    <mergeCell ref="E225:E227"/>
    <mergeCell ref="G225:K225"/>
    <mergeCell ref="G226:I226"/>
    <mergeCell ref="J226:K226"/>
    <mergeCell ref="G227:I227"/>
    <mergeCell ref="J227:K227"/>
    <mergeCell ref="E262:E270"/>
    <mergeCell ref="G262:K262"/>
    <mergeCell ref="G267:K267"/>
    <mergeCell ref="J268:K268"/>
    <mergeCell ref="J269:K269"/>
    <mergeCell ref="G360:M360"/>
    <mergeCell ref="G294:K294"/>
    <mergeCell ref="G307:K307"/>
    <mergeCell ref="I327:K327"/>
    <mergeCell ref="I328:K328"/>
    <mergeCell ref="G318:K318"/>
    <mergeCell ref="I319:K319"/>
    <mergeCell ref="I320:K320"/>
    <mergeCell ref="G322:K322"/>
    <mergeCell ref="G326:K326"/>
    <mergeCell ref="H303:K303"/>
    <mergeCell ref="E241:E243"/>
    <mergeCell ref="G241:K241"/>
    <mergeCell ref="G242:I242"/>
    <mergeCell ref="J242:K242"/>
    <mergeCell ref="G243:I243"/>
    <mergeCell ref="J243:K243"/>
  </mergeCells>
  <conditionalFormatting sqref="L362:L374">
    <cfRule type="colorScale" priority="2">
      <colorScale>
        <cfvo type="min"/>
        <cfvo type="percentile" val="50"/>
        <cfvo type="max"/>
        <color rgb="FF63BE7B"/>
        <color rgb="FFFFEB84"/>
        <color rgb="FFF8696B"/>
      </colorScale>
    </cfRule>
  </conditionalFormatting>
  <conditionalFormatting sqref="M362:M373">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horizontalDpi="300" verticalDpi="300" r:id="rId1"/>
  <headerFooter>
    <oddFooter>&amp;L_x000D_&amp;1#&amp;"Calibri"&amp;10&amp;K000000 Classified as Microsoft Confidential</oddFoot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DBE39FCF-7627-4F59-82FA-C425D6CD1155}">
          <x14:formula1>
            <xm:f>FabricMapping!$F$39:$F$43</xm:f>
          </x14:formula1>
          <xm:sqref>G9 G114 G176 G264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8EE97-B77E-4BDC-B5A7-5B9F7F1114DF}">
  <sheetPr codeName="Sheet34">
    <tabColor rgb="FFFF0000"/>
  </sheetPr>
  <dimension ref="A1:Y431"/>
  <sheetViews>
    <sheetView showGridLines="0" showRowColHeaders="0" topLeftCell="B1" zoomScale="80" zoomScaleNormal="80" workbookViewId="0">
      <selection activeCell="R56" sqref="R56"/>
    </sheetView>
  </sheetViews>
  <sheetFormatPr defaultColWidth="9" defaultRowHeight="17.100000000000001" customHeight="1" zeroHeight="1" x14ac:dyDescent="0.3"/>
  <cols>
    <col min="1" max="1" width="0" style="49" hidden="1" customWidth="1"/>
    <col min="2" max="2" width="3.5546875" style="49" customWidth="1"/>
    <col min="3" max="4" width="2.44140625" style="49" customWidth="1"/>
    <col min="5" max="5" width="46.109375" style="49" customWidth="1"/>
    <col min="6" max="6" width="1.44140625" style="49" customWidth="1"/>
    <col min="7" max="7" width="34.6640625" style="49" customWidth="1"/>
    <col min="8" max="8" width="26.44140625" style="49" customWidth="1"/>
    <col min="9" max="9" width="27" style="49" customWidth="1"/>
    <col min="10" max="10" width="26.44140625" style="49" customWidth="1"/>
    <col min="11" max="11" width="28.44140625" style="49" customWidth="1"/>
    <col min="12" max="12" width="13" style="49" bestFit="1" customWidth="1"/>
    <col min="13" max="13" width="22.33203125" style="49" customWidth="1"/>
    <col min="14" max="14" width="22.5546875" style="49" customWidth="1"/>
    <col min="15" max="15" width="27.109375" style="49" customWidth="1"/>
    <col min="16" max="16" width="21.6640625" style="49" customWidth="1"/>
    <col min="17" max="17" width="27.44140625" style="49" customWidth="1"/>
    <col min="18" max="21" width="17.109375" style="49" customWidth="1"/>
    <col min="22" max="23" width="20.5546875" style="49" customWidth="1"/>
    <col min="24" max="24" width="22.109375" style="49" customWidth="1"/>
    <col min="25" max="32" width="9" style="49" customWidth="1"/>
    <col min="33" max="16384" width="9" style="49"/>
  </cols>
  <sheetData>
    <row r="1" spans="3:22" s="177" customFormat="1" ht="14.4" x14ac:dyDescent="0.3">
      <c r="C1" s="195"/>
      <c r="D1" s="195"/>
      <c r="E1" s="195"/>
      <c r="F1" s="195"/>
      <c r="G1" s="195"/>
      <c r="H1" s="195"/>
      <c r="I1" s="195"/>
      <c r="J1" s="195"/>
      <c r="K1" s="195"/>
      <c r="L1" s="195"/>
      <c r="M1" s="195"/>
      <c r="N1" s="195"/>
      <c r="O1" s="195"/>
      <c r="P1" s="195"/>
      <c r="Q1" s="195"/>
      <c r="R1" s="195"/>
      <c r="S1" s="195"/>
      <c r="T1" s="195"/>
      <c r="U1" s="195"/>
      <c r="V1" s="195"/>
    </row>
    <row r="2" spans="3:22" s="177" customFormat="1" ht="15.6" x14ac:dyDescent="0.3">
      <c r="C2" s="195"/>
      <c r="D2" s="195"/>
      <c r="E2" s="178" t="s">
        <v>37</v>
      </c>
      <c r="F2" s="195"/>
      <c r="G2" s="179" t="s">
        <v>161</v>
      </c>
      <c r="H2" s="195"/>
      <c r="I2" s="195"/>
      <c r="J2" s="195"/>
      <c r="K2" s="49" t="s">
        <v>162</v>
      </c>
      <c r="L2" s="49" t="s">
        <v>163</v>
      </c>
      <c r="M2" s="49" t="s">
        <v>164</v>
      </c>
      <c r="N2" s="49" t="s">
        <v>165</v>
      </c>
      <c r="O2" s="49" t="s">
        <v>166</v>
      </c>
      <c r="P2" s="49" t="s">
        <v>167</v>
      </c>
      <c r="Q2" s="49" t="s">
        <v>168</v>
      </c>
      <c r="R2" s="195"/>
      <c r="S2" s="195"/>
      <c r="T2" s="195"/>
      <c r="U2" s="195"/>
      <c r="V2" s="195"/>
    </row>
    <row r="3" spans="3:22" s="177" customFormat="1" ht="15.6" x14ac:dyDescent="0.3">
      <c r="C3" s="195"/>
      <c r="D3" s="195"/>
      <c r="E3" s="396" t="s">
        <v>169</v>
      </c>
      <c r="F3" s="195"/>
      <c r="G3" s="180">
        <v>28</v>
      </c>
      <c r="H3" s="195"/>
      <c r="I3" s="195"/>
      <c r="J3" s="195"/>
      <c r="K3" s="49" t="s">
        <v>170</v>
      </c>
      <c r="L3" s="181">
        <v>0.4</v>
      </c>
      <c r="M3" s="49">
        <f>$G$6*Table14[[#This Row],[% of Sources]]</f>
        <v>400</v>
      </c>
      <c r="N3" s="49">
        <v>0.5</v>
      </c>
      <c r="O3" s="49">
        <f t="shared" ref="O3:O11" si="0">M3*N3</f>
        <v>200</v>
      </c>
      <c r="P3" s="182">
        <v>3</v>
      </c>
      <c r="Q3" s="49">
        <f t="shared" ref="Q3:Q11" si="1">M3*P3</f>
        <v>1200</v>
      </c>
      <c r="R3" s="195"/>
      <c r="S3" s="195"/>
      <c r="T3" s="195"/>
      <c r="U3" s="195"/>
      <c r="V3" s="195"/>
    </row>
    <row r="4" spans="3:22" s="177" customFormat="1" ht="15.6" x14ac:dyDescent="0.3">
      <c r="C4" s="195"/>
      <c r="D4" s="195"/>
      <c r="E4" s="397" t="s">
        <v>44</v>
      </c>
      <c r="F4" s="195"/>
      <c r="G4" s="183">
        <v>10000</v>
      </c>
      <c r="H4" s="195"/>
      <c r="I4" s="195"/>
      <c r="J4" s="195"/>
      <c r="K4" s="49" t="s">
        <v>171</v>
      </c>
      <c r="L4" s="184">
        <v>0</v>
      </c>
      <c r="M4" s="49">
        <f>$G$6*Table14[[#This Row],[% of Sources]]</f>
        <v>0</v>
      </c>
      <c r="N4" s="49">
        <v>0.1</v>
      </c>
      <c r="O4" s="49">
        <f t="shared" si="0"/>
        <v>0</v>
      </c>
      <c r="P4" s="182">
        <v>6</v>
      </c>
      <c r="Q4" s="49">
        <f t="shared" si="1"/>
        <v>0</v>
      </c>
      <c r="R4" s="195"/>
      <c r="S4" s="195"/>
      <c r="T4" s="195"/>
      <c r="U4" s="195"/>
      <c r="V4" s="195"/>
    </row>
    <row r="5" spans="3:22" s="177" customFormat="1" ht="15.6" x14ac:dyDescent="0.3">
      <c r="C5" s="195"/>
      <c r="D5" s="195"/>
      <c r="E5" s="397" t="s">
        <v>46</v>
      </c>
      <c r="F5" s="195"/>
      <c r="G5" s="183">
        <v>1</v>
      </c>
      <c r="H5" s="195"/>
      <c r="I5" s="195"/>
      <c r="J5" s="195"/>
      <c r="K5" s="49" t="s">
        <v>172</v>
      </c>
      <c r="L5" s="184">
        <v>0</v>
      </c>
      <c r="M5" s="49">
        <f>$G$6*Table14[[#This Row],[% of Sources]]</f>
        <v>0</v>
      </c>
      <c r="N5" s="49">
        <v>0.1</v>
      </c>
      <c r="O5" s="49">
        <f t="shared" si="0"/>
        <v>0</v>
      </c>
      <c r="P5" s="182">
        <v>6</v>
      </c>
      <c r="Q5" s="49">
        <f t="shared" si="1"/>
        <v>0</v>
      </c>
      <c r="R5" s="195"/>
      <c r="S5" s="195"/>
      <c r="T5" s="195"/>
      <c r="U5" s="195"/>
      <c r="V5" s="195"/>
    </row>
    <row r="6" spans="3:22" s="177" customFormat="1" ht="15.6" x14ac:dyDescent="0.3">
      <c r="C6" s="195"/>
      <c r="D6" s="195"/>
      <c r="E6" s="397" t="s">
        <v>173</v>
      </c>
      <c r="F6" s="195"/>
      <c r="G6" s="183">
        <v>1000</v>
      </c>
      <c r="H6" s="195"/>
      <c r="I6" s="195"/>
      <c r="J6" s="195"/>
      <c r="K6" s="49" t="s">
        <v>174</v>
      </c>
      <c r="L6" s="184">
        <v>0</v>
      </c>
      <c r="M6" s="49">
        <f>$G$6*Table14[[#This Row],[% of Sources]]</f>
        <v>0</v>
      </c>
      <c r="N6" s="49">
        <v>0.05</v>
      </c>
      <c r="O6" s="49">
        <f t="shared" si="0"/>
        <v>0</v>
      </c>
      <c r="P6" s="182">
        <v>6</v>
      </c>
      <c r="Q6" s="49">
        <f t="shared" si="1"/>
        <v>0</v>
      </c>
      <c r="R6" s="195"/>
      <c r="S6" s="195"/>
      <c r="T6" s="195"/>
      <c r="U6" s="195"/>
      <c r="V6" s="195"/>
    </row>
    <row r="7" spans="3:22" s="177" customFormat="1" ht="15.6" x14ac:dyDescent="0.3">
      <c r="C7" s="195"/>
      <c r="D7" s="195"/>
      <c r="E7" s="397" t="s">
        <v>50</v>
      </c>
      <c r="F7" s="195"/>
      <c r="G7" s="185">
        <v>0.3</v>
      </c>
      <c r="H7" s="195"/>
      <c r="I7" s="195"/>
      <c r="J7" s="195"/>
      <c r="K7" s="49" t="s">
        <v>175</v>
      </c>
      <c r="L7" s="184">
        <v>0</v>
      </c>
      <c r="M7" s="49">
        <f>$G$6*Table14[[#This Row],[% of Sources]]</f>
        <v>0</v>
      </c>
      <c r="N7" s="49">
        <v>0.05</v>
      </c>
      <c r="O7" s="49">
        <f t="shared" si="0"/>
        <v>0</v>
      </c>
      <c r="P7" s="182">
        <v>6</v>
      </c>
      <c r="Q7" s="49">
        <f t="shared" si="1"/>
        <v>0</v>
      </c>
      <c r="R7" s="195"/>
      <c r="S7" s="195"/>
      <c r="T7" s="195"/>
      <c r="U7" s="195"/>
      <c r="V7" s="195"/>
    </row>
    <row r="8" spans="3:22" s="177" customFormat="1" ht="15.6" x14ac:dyDescent="0.3">
      <c r="C8" s="195"/>
      <c r="D8" s="195"/>
      <c r="E8" s="397" t="s">
        <v>176</v>
      </c>
      <c r="F8" s="195"/>
      <c r="G8" s="185" t="s">
        <v>177</v>
      </c>
      <c r="H8" s="195"/>
      <c r="I8" s="195"/>
      <c r="J8" s="195"/>
      <c r="K8" s="49" t="s">
        <v>178</v>
      </c>
      <c r="L8" s="184">
        <v>0</v>
      </c>
      <c r="M8" s="49">
        <f>$G$6*Table14[[#This Row],[% of Sources]]</f>
        <v>0</v>
      </c>
      <c r="N8" s="49">
        <v>0.05</v>
      </c>
      <c r="O8" s="49">
        <f t="shared" si="0"/>
        <v>0</v>
      </c>
      <c r="P8" s="182">
        <v>6</v>
      </c>
      <c r="Q8" s="49">
        <f t="shared" si="1"/>
        <v>0</v>
      </c>
      <c r="R8" s="195"/>
      <c r="S8" s="195"/>
      <c r="T8" s="195"/>
      <c r="U8" s="195"/>
      <c r="V8" s="195"/>
    </row>
    <row r="9" spans="3:22" s="177" customFormat="1" ht="15.6" x14ac:dyDescent="0.3">
      <c r="C9" s="195"/>
      <c r="D9" s="195"/>
      <c r="E9" s="397" t="s">
        <v>55</v>
      </c>
      <c r="F9" s="195"/>
      <c r="G9" s="185" t="s">
        <v>56</v>
      </c>
      <c r="H9" s="195"/>
      <c r="I9" s="195"/>
      <c r="J9" s="195"/>
      <c r="K9" s="49" t="s">
        <v>179</v>
      </c>
      <c r="L9" s="184">
        <v>0</v>
      </c>
      <c r="M9" s="49">
        <f>$G$6*Table14[[#This Row],[% of Sources]]</f>
        <v>0</v>
      </c>
      <c r="N9" s="49">
        <v>0.05</v>
      </c>
      <c r="O9" s="49">
        <f t="shared" si="0"/>
        <v>0</v>
      </c>
      <c r="P9" s="182">
        <v>6</v>
      </c>
      <c r="Q9" s="49">
        <f t="shared" si="1"/>
        <v>0</v>
      </c>
      <c r="R9" s="195"/>
      <c r="S9" s="195"/>
      <c r="T9" s="195"/>
      <c r="U9" s="195"/>
      <c r="V9" s="195"/>
    </row>
    <row r="10" spans="3:22" s="177" customFormat="1" ht="15.6" x14ac:dyDescent="0.3">
      <c r="C10" s="195"/>
      <c r="D10" s="195"/>
      <c r="E10" s="397" t="s">
        <v>58</v>
      </c>
      <c r="F10" s="195"/>
      <c r="G10" s="185" t="b">
        <v>1</v>
      </c>
      <c r="H10" s="195"/>
      <c r="I10" s="195"/>
      <c r="J10" s="195"/>
      <c r="K10" s="49" t="s">
        <v>180</v>
      </c>
      <c r="L10" s="184">
        <v>0</v>
      </c>
      <c r="M10" s="49">
        <f>$G$6*Table14[[#This Row],[% of Sources]]</f>
        <v>0</v>
      </c>
      <c r="N10" s="49">
        <v>0.1</v>
      </c>
      <c r="O10" s="49">
        <f t="shared" si="0"/>
        <v>0</v>
      </c>
      <c r="P10" s="182">
        <v>3</v>
      </c>
      <c r="Q10" s="49">
        <f t="shared" si="1"/>
        <v>0</v>
      </c>
      <c r="R10" s="195"/>
      <c r="S10" s="195"/>
      <c r="T10" s="195"/>
      <c r="U10" s="195"/>
      <c r="V10" s="195"/>
    </row>
    <row r="11" spans="3:22" s="177" customFormat="1" ht="15.6" x14ac:dyDescent="0.3">
      <c r="C11" s="195"/>
      <c r="D11" s="195"/>
      <c r="E11" s="397" t="s">
        <v>181</v>
      </c>
      <c r="F11" s="195"/>
      <c r="G11" s="185" t="b">
        <v>1</v>
      </c>
      <c r="H11" s="195"/>
      <c r="I11" s="195"/>
      <c r="J11" s="195"/>
      <c r="K11" s="49" t="s">
        <v>182</v>
      </c>
      <c r="L11" s="184">
        <v>0.6</v>
      </c>
      <c r="M11" s="49">
        <f>$G$6*Table14[[#This Row],[% of Sources]]</f>
        <v>600</v>
      </c>
      <c r="N11" s="49">
        <v>1</v>
      </c>
      <c r="O11" s="49">
        <f t="shared" si="0"/>
        <v>600</v>
      </c>
      <c r="P11" s="182">
        <v>1</v>
      </c>
      <c r="Q11" s="49">
        <f t="shared" si="1"/>
        <v>600</v>
      </c>
      <c r="R11" s="195"/>
      <c r="S11" s="195"/>
      <c r="T11" s="195"/>
      <c r="U11" s="195"/>
      <c r="V11" s="195"/>
    </row>
    <row r="12" spans="3:22" s="177" customFormat="1" ht="15.6" x14ac:dyDescent="0.3">
      <c r="C12" s="195"/>
      <c r="D12" s="195"/>
      <c r="E12" s="397" t="s">
        <v>183</v>
      </c>
      <c r="F12" s="195"/>
      <c r="G12" s="186">
        <v>500</v>
      </c>
      <c r="H12" s="195"/>
      <c r="I12" s="195"/>
      <c r="J12" s="195"/>
      <c r="K12" s="49"/>
      <c r="L12" s="49"/>
      <c r="M12" s="49"/>
      <c r="N12" s="49"/>
      <c r="O12" s="49"/>
      <c r="P12" s="49"/>
      <c r="Q12" s="49"/>
      <c r="R12" s="195"/>
      <c r="S12" s="195"/>
      <c r="T12" s="195"/>
      <c r="U12" s="195"/>
      <c r="V12" s="195"/>
    </row>
    <row r="13" spans="3:22" s="177" customFormat="1" ht="16.2" thickBot="1" x14ac:dyDescent="0.35">
      <c r="C13" s="195"/>
      <c r="D13" s="195"/>
      <c r="E13" s="397" t="s">
        <v>66</v>
      </c>
      <c r="F13" s="195"/>
      <c r="G13" s="185" t="b">
        <v>0</v>
      </c>
      <c r="H13" s="195"/>
      <c r="I13" s="195"/>
      <c r="J13" s="195"/>
      <c r="K13" s="49"/>
      <c r="L13" s="195"/>
      <c r="M13" s="49"/>
      <c r="N13" s="49"/>
      <c r="O13" s="49"/>
      <c r="P13" s="49"/>
      <c r="Q13" s="49"/>
      <c r="R13" s="195"/>
      <c r="S13" s="195"/>
      <c r="T13" s="195"/>
      <c r="U13" s="195"/>
      <c r="V13" s="195"/>
    </row>
    <row r="14" spans="3:22" s="177" customFormat="1" ht="16.2" thickBot="1" x14ac:dyDescent="0.35">
      <c r="C14" s="195"/>
      <c r="D14" s="195"/>
      <c r="E14" s="397" t="s">
        <v>184</v>
      </c>
      <c r="F14" s="195"/>
      <c r="G14" s="186">
        <v>0</v>
      </c>
      <c r="H14" s="49"/>
      <c r="I14" s="195"/>
      <c r="J14" s="195"/>
      <c r="K14" s="187" t="s">
        <v>185</v>
      </c>
      <c r="L14" s="187">
        <f>IFERROR(SUM(O3:O11)/SUM(M3:M11),0)</f>
        <v>0.8</v>
      </c>
      <c r="M14" s="49"/>
      <c r="N14" s="49"/>
      <c r="O14" s="187" t="s">
        <v>186</v>
      </c>
      <c r="P14" s="187">
        <f>IFERROR(SUM(Q3:Q11)/SUM(M3:M11),0)</f>
        <v>1.8</v>
      </c>
      <c r="Q14" s="49"/>
      <c r="R14" s="195"/>
      <c r="S14" s="195"/>
      <c r="T14" s="195"/>
      <c r="U14" s="195"/>
      <c r="V14" s="195"/>
    </row>
    <row r="15" spans="3:22" s="177" customFormat="1" ht="15.6" x14ac:dyDescent="0.3">
      <c r="C15" s="195"/>
      <c r="D15" s="195"/>
      <c r="E15" s="397" t="s">
        <v>70</v>
      </c>
      <c r="F15" s="195"/>
      <c r="G15" s="186">
        <v>50</v>
      </c>
      <c r="H15" s="49"/>
      <c r="I15" s="195"/>
      <c r="J15" s="195"/>
      <c r="K15" s="195"/>
      <c r="L15" s="49"/>
      <c r="M15" s="195"/>
      <c r="N15" s="195"/>
      <c r="O15" s="195"/>
      <c r="P15" s="49"/>
      <c r="Q15" s="195"/>
      <c r="R15" s="195"/>
      <c r="S15" s="195"/>
      <c r="T15" s="195"/>
      <c r="U15" s="195"/>
      <c r="V15" s="195"/>
    </row>
    <row r="16" spans="3:22" s="177" customFormat="1" ht="15.6" x14ac:dyDescent="0.3">
      <c r="C16" s="195"/>
      <c r="D16" s="195"/>
      <c r="E16" s="397" t="s">
        <v>73</v>
      </c>
      <c r="F16" s="195"/>
      <c r="G16" s="185" t="b">
        <v>1</v>
      </c>
      <c r="H16" s="49"/>
      <c r="I16" s="195"/>
      <c r="J16" s="195"/>
      <c r="K16" s="195"/>
      <c r="L16" s="195"/>
      <c r="M16" s="195"/>
      <c r="N16" s="195"/>
      <c r="O16" s="195"/>
      <c r="P16" s="195"/>
      <c r="Q16" s="195"/>
      <c r="R16" s="195"/>
      <c r="S16" s="195"/>
      <c r="T16" s="195"/>
      <c r="U16" s="195"/>
      <c r="V16" s="195"/>
    </row>
    <row r="17" spans="3:24" s="177" customFormat="1" ht="15.6" x14ac:dyDescent="0.3">
      <c r="C17" s="195"/>
      <c r="D17" s="195"/>
      <c r="E17" s="397" t="s">
        <v>75</v>
      </c>
      <c r="F17" s="195"/>
      <c r="G17" s="186">
        <v>100</v>
      </c>
      <c r="H17" s="49"/>
      <c r="I17" s="195"/>
      <c r="J17" s="195"/>
      <c r="K17" s="195"/>
      <c r="L17" s="195"/>
      <c r="M17" s="195"/>
      <c r="N17" s="195"/>
      <c r="O17" s="195"/>
      <c r="P17" s="195"/>
      <c r="Q17" s="195"/>
      <c r="R17" s="195"/>
      <c r="S17" s="195"/>
      <c r="T17" s="195"/>
      <c r="U17" s="195"/>
      <c r="V17" s="195"/>
      <c r="W17" s="195"/>
      <c r="X17" s="195"/>
    </row>
    <row r="18" spans="3:24" s="177" customFormat="1" ht="15.6" x14ac:dyDescent="0.3">
      <c r="C18" s="195"/>
      <c r="D18" s="195"/>
      <c r="E18" s="397" t="s">
        <v>77</v>
      </c>
      <c r="F18" s="195"/>
      <c r="G18" s="186">
        <v>12</v>
      </c>
      <c r="H18" s="49"/>
      <c r="I18" s="195"/>
      <c r="J18" s="195"/>
      <c r="K18" s="195"/>
      <c r="L18" s="195"/>
      <c r="M18" s="195"/>
      <c r="N18" s="195"/>
      <c r="O18" s="195"/>
      <c r="P18" s="195"/>
      <c r="Q18" s="195"/>
      <c r="R18" s="195"/>
      <c r="S18" s="195"/>
      <c r="T18" s="195"/>
      <c r="U18" s="195"/>
      <c r="V18" s="195"/>
      <c r="W18" s="195"/>
      <c r="X18" s="195"/>
    </row>
    <row r="19" spans="3:24" s="177" customFormat="1" ht="15.6" x14ac:dyDescent="0.3">
      <c r="C19" s="195"/>
      <c r="D19" s="195"/>
      <c r="E19" s="397" t="s">
        <v>80</v>
      </c>
      <c r="F19" s="195"/>
      <c r="G19" s="186">
        <v>8</v>
      </c>
      <c r="H19" s="49"/>
      <c r="I19" s="195"/>
      <c r="J19" s="195"/>
      <c r="K19" s="195"/>
      <c r="L19" s="195"/>
      <c r="M19" s="195"/>
      <c r="N19" s="195"/>
      <c r="O19" s="195"/>
      <c r="P19" s="195"/>
      <c r="Q19" s="195"/>
      <c r="R19" s="195"/>
      <c r="S19" s="195"/>
      <c r="T19" s="195"/>
      <c r="U19" s="195"/>
      <c r="V19" s="195"/>
      <c r="W19" s="195"/>
      <c r="X19" s="195"/>
    </row>
    <row r="20" spans="3:24" s="177" customFormat="1" ht="15.6" x14ac:dyDescent="0.3">
      <c r="C20" s="195"/>
      <c r="D20" s="195"/>
      <c r="E20" s="397" t="s">
        <v>82</v>
      </c>
      <c r="F20" s="195"/>
      <c r="G20" s="186">
        <v>2</v>
      </c>
      <c r="H20" s="49"/>
      <c r="I20" s="195"/>
      <c r="J20" s="195"/>
      <c r="K20" s="195"/>
      <c r="L20" s="195"/>
      <c r="M20" s="195"/>
      <c r="N20" s="195"/>
      <c r="O20" s="195"/>
      <c r="P20" s="195"/>
      <c r="Q20" s="195"/>
      <c r="R20" s="195"/>
      <c r="S20" s="195"/>
      <c r="T20" s="195"/>
      <c r="U20" s="195"/>
      <c r="V20" s="195"/>
      <c r="W20" s="195"/>
      <c r="X20" s="195"/>
    </row>
    <row r="21" spans="3:24" s="177" customFormat="1" ht="15.6" x14ac:dyDescent="0.3">
      <c r="C21" s="195"/>
      <c r="D21" s="195"/>
      <c r="E21" s="397" t="s">
        <v>84</v>
      </c>
      <c r="F21" s="195"/>
      <c r="G21" s="185" t="b">
        <v>1</v>
      </c>
      <c r="H21" s="49"/>
      <c r="I21" s="195"/>
      <c r="J21" s="195"/>
      <c r="K21" s="195"/>
      <c r="L21" s="195"/>
      <c r="M21" s="195"/>
      <c r="N21" s="195"/>
      <c r="O21" s="195"/>
      <c r="P21" s="195"/>
      <c r="Q21" s="195"/>
      <c r="R21" s="195"/>
      <c r="S21" s="195"/>
      <c r="T21" s="195"/>
      <c r="U21" s="195"/>
      <c r="V21" s="195"/>
      <c r="W21" s="195"/>
      <c r="X21" s="195"/>
    </row>
    <row r="22" spans="3:24" s="177" customFormat="1" ht="15.6" x14ac:dyDescent="0.3">
      <c r="C22" s="195"/>
      <c r="D22" s="195"/>
      <c r="E22" s="397" t="s">
        <v>187</v>
      </c>
      <c r="F22" s="195"/>
      <c r="G22" s="186">
        <v>2</v>
      </c>
      <c r="H22" s="49"/>
      <c r="I22" s="195"/>
      <c r="J22" s="195"/>
      <c r="K22" s="195"/>
      <c r="L22" s="195"/>
      <c r="M22" s="195"/>
      <c r="N22" s="195"/>
      <c r="O22" s="195"/>
      <c r="P22" s="195"/>
      <c r="Q22" s="195"/>
      <c r="R22" s="195"/>
      <c r="S22" s="195"/>
      <c r="T22" s="195"/>
      <c r="U22" s="195"/>
      <c r="V22" s="195"/>
      <c r="W22" s="195"/>
      <c r="X22" s="195"/>
    </row>
    <row r="23" spans="3:24" s="177" customFormat="1" ht="15.6" x14ac:dyDescent="0.3">
      <c r="C23" s="195"/>
      <c r="D23" s="195"/>
      <c r="E23" s="397" t="s">
        <v>88</v>
      </c>
      <c r="F23" s="195"/>
      <c r="G23" s="186">
        <v>2</v>
      </c>
      <c r="H23" s="49"/>
      <c r="I23" s="195"/>
      <c r="J23" s="195"/>
      <c r="K23" s="195"/>
      <c r="L23" s="195"/>
      <c r="M23" s="195"/>
      <c r="N23" s="195"/>
      <c r="O23" s="195"/>
      <c r="P23" s="195"/>
      <c r="Q23" s="195"/>
      <c r="R23" s="195"/>
      <c r="S23" s="195"/>
      <c r="T23" s="195"/>
      <c r="U23" s="195"/>
      <c r="V23" s="195"/>
      <c r="W23" s="195"/>
      <c r="X23" s="195"/>
    </row>
    <row r="24" spans="3:24" s="177" customFormat="1" ht="15.6" x14ac:dyDescent="0.3">
      <c r="C24" s="195"/>
      <c r="D24" s="195"/>
      <c r="E24" s="397" t="s">
        <v>91</v>
      </c>
      <c r="F24" s="195"/>
      <c r="G24" s="186">
        <v>100</v>
      </c>
      <c r="H24" s="49"/>
      <c r="I24" s="195"/>
      <c r="J24" s="195"/>
      <c r="K24" s="195"/>
      <c r="L24" s="195"/>
      <c r="M24" s="195"/>
      <c r="N24" s="195"/>
      <c r="O24" s="195"/>
      <c r="P24" s="195"/>
      <c r="Q24" s="195"/>
      <c r="R24" s="195"/>
      <c r="S24" s="195"/>
      <c r="T24" s="195"/>
      <c r="U24" s="195"/>
      <c r="V24" s="195"/>
      <c r="W24" s="195"/>
      <c r="X24" s="195"/>
    </row>
    <row r="25" spans="3:24" s="177" customFormat="1" ht="15.6" x14ac:dyDescent="0.3">
      <c r="C25" s="195"/>
      <c r="D25" s="195"/>
      <c r="E25" s="397" t="s">
        <v>93</v>
      </c>
      <c r="F25" s="195"/>
      <c r="G25" s="186">
        <v>5</v>
      </c>
      <c r="H25" s="49"/>
      <c r="I25" s="195"/>
      <c r="J25" s="195"/>
      <c r="K25" s="195"/>
      <c r="L25" s="195"/>
      <c r="M25" s="195"/>
      <c r="N25" s="195"/>
      <c r="O25" s="195"/>
      <c r="P25" s="195"/>
      <c r="Q25" s="195"/>
      <c r="R25" s="195"/>
      <c r="S25" s="195"/>
      <c r="T25" s="195"/>
      <c r="U25" s="195"/>
      <c r="V25" s="195"/>
      <c r="W25" s="195"/>
      <c r="X25" s="195"/>
    </row>
    <row r="26" spans="3:24" s="177" customFormat="1" ht="15.6" x14ac:dyDescent="0.3">
      <c r="C26" s="195"/>
      <c r="D26" s="195"/>
      <c r="E26" s="397" t="s">
        <v>95</v>
      </c>
      <c r="F26" s="195"/>
      <c r="G26" s="186">
        <v>25</v>
      </c>
      <c r="H26" s="49"/>
      <c r="I26" s="195"/>
      <c r="J26" s="195"/>
      <c r="K26" s="195"/>
      <c r="L26" s="195"/>
      <c r="M26" s="195"/>
      <c r="N26" s="195"/>
      <c r="O26" s="195"/>
      <c r="P26" s="195"/>
      <c r="Q26" s="195"/>
      <c r="R26" s="195"/>
      <c r="S26" s="195"/>
      <c r="T26" s="195"/>
      <c r="U26" s="195"/>
      <c r="V26" s="195"/>
      <c r="W26" s="195"/>
      <c r="X26" s="195"/>
    </row>
    <row r="27" spans="3:24" s="177" customFormat="1" ht="15.6" x14ac:dyDescent="0.3">
      <c r="C27" s="195"/>
      <c r="D27" s="195"/>
      <c r="E27" s="397" t="s">
        <v>97</v>
      </c>
      <c r="F27" s="195"/>
      <c r="G27" s="186">
        <v>7</v>
      </c>
      <c r="H27" s="49"/>
      <c r="I27" s="195"/>
      <c r="J27" s="195"/>
      <c r="K27" s="195"/>
      <c r="L27" s="195"/>
      <c r="M27" s="195"/>
      <c r="N27" s="195"/>
      <c r="O27" s="195"/>
      <c r="P27" s="195"/>
      <c r="Q27" s="195"/>
      <c r="R27" s="195"/>
      <c r="S27" s="195"/>
      <c r="T27" s="195"/>
      <c r="U27" s="195"/>
      <c r="V27" s="195"/>
      <c r="W27" s="195"/>
      <c r="X27" s="195"/>
    </row>
    <row r="28" spans="3:24" s="177" customFormat="1" ht="15.6" x14ac:dyDescent="0.3">
      <c r="C28" s="195"/>
      <c r="D28" s="195"/>
      <c r="E28" s="397" t="s">
        <v>100</v>
      </c>
      <c r="F28" s="195"/>
      <c r="G28" s="186">
        <v>1</v>
      </c>
      <c r="H28" s="49"/>
      <c r="I28" s="195"/>
      <c r="J28" s="195"/>
      <c r="K28" s="195"/>
      <c r="L28" s="195"/>
      <c r="M28" s="195"/>
      <c r="N28" s="195"/>
      <c r="O28" s="195"/>
      <c r="P28" s="195"/>
      <c r="Q28" s="195"/>
      <c r="R28" s="195"/>
      <c r="S28" s="195"/>
      <c r="T28" s="195"/>
      <c r="U28" s="195"/>
      <c r="V28" s="195"/>
      <c r="W28" s="195"/>
      <c r="X28" s="195"/>
    </row>
    <row r="29" spans="3:24" s="177" customFormat="1" ht="15.6" x14ac:dyDescent="0.3">
      <c r="C29" s="195"/>
      <c r="D29" s="195"/>
      <c r="E29" s="397" t="s">
        <v>103</v>
      </c>
      <c r="F29" s="195"/>
      <c r="G29" s="186">
        <v>10</v>
      </c>
      <c r="H29" s="49"/>
      <c r="I29" s="195"/>
      <c r="J29" s="195"/>
      <c r="K29" s="195"/>
      <c r="L29" s="195"/>
      <c r="M29" s="195"/>
      <c r="N29" s="195"/>
      <c r="O29" s="195"/>
      <c r="P29" s="195"/>
      <c r="Q29" s="195"/>
      <c r="R29" s="195"/>
      <c r="S29" s="195"/>
      <c r="T29" s="195"/>
      <c r="U29" s="195"/>
      <c r="V29" s="195"/>
      <c r="W29" s="195"/>
      <c r="X29" s="195"/>
    </row>
    <row r="30" spans="3:24" s="177" customFormat="1" ht="15.6" x14ac:dyDescent="0.3">
      <c r="C30" s="195"/>
      <c r="D30" s="195"/>
      <c r="E30" s="397" t="s">
        <v>104</v>
      </c>
      <c r="F30" s="195"/>
      <c r="G30" s="186">
        <v>7</v>
      </c>
      <c r="H30" s="49"/>
      <c r="I30" s="195"/>
      <c r="J30" s="195"/>
      <c r="K30" s="195"/>
      <c r="L30" s="195"/>
      <c r="M30" s="195"/>
      <c r="N30" s="195"/>
      <c r="O30" s="195"/>
      <c r="P30" s="195"/>
      <c r="Q30" s="195"/>
      <c r="R30" s="195"/>
      <c r="S30" s="195"/>
      <c r="T30" s="195"/>
      <c r="U30" s="195"/>
      <c r="V30" s="195"/>
      <c r="W30" s="195"/>
      <c r="X30" s="195"/>
    </row>
    <row r="31" spans="3:24" s="177" customFormat="1" ht="15.6" x14ac:dyDescent="0.3">
      <c r="C31" s="195"/>
      <c r="D31" s="195"/>
      <c r="E31" s="397" t="s">
        <v>106</v>
      </c>
      <c r="F31" s="195"/>
      <c r="G31" s="186">
        <v>30</v>
      </c>
      <c r="H31" s="49"/>
      <c r="I31" s="195"/>
      <c r="J31" s="195"/>
      <c r="K31" s="195"/>
      <c r="L31" s="195"/>
      <c r="M31" s="195"/>
      <c r="N31" s="195"/>
      <c r="O31" s="195"/>
      <c r="P31" s="195"/>
      <c r="Q31" s="195"/>
      <c r="R31" s="195"/>
      <c r="S31" s="195"/>
      <c r="T31" s="195"/>
      <c r="U31" s="195"/>
      <c r="V31" s="195"/>
      <c r="W31" s="195"/>
      <c r="X31" s="195"/>
    </row>
    <row r="32" spans="3:24" s="177" customFormat="1" ht="15.6" x14ac:dyDescent="0.3">
      <c r="C32" s="195"/>
      <c r="D32" s="195"/>
      <c r="E32" s="397" t="s">
        <v>108</v>
      </c>
      <c r="F32" s="195"/>
      <c r="G32" s="186">
        <v>24</v>
      </c>
      <c r="H32" s="49"/>
      <c r="I32" s="195"/>
      <c r="J32" s="195"/>
      <c r="K32" s="195"/>
      <c r="L32" s="195"/>
      <c r="M32" s="195"/>
      <c r="N32" s="195"/>
      <c r="O32" s="195"/>
      <c r="P32" s="195"/>
      <c r="Q32" s="195"/>
      <c r="R32" s="195"/>
      <c r="S32" s="195"/>
      <c r="T32" s="195"/>
      <c r="U32" s="195"/>
      <c r="V32" s="195"/>
      <c r="W32" s="195"/>
      <c r="X32" s="195"/>
    </row>
    <row r="33" spans="3:24" s="177" customFormat="1" ht="15.6" x14ac:dyDescent="0.3">
      <c r="C33" s="195"/>
      <c r="D33" s="195"/>
      <c r="E33" s="397" t="s">
        <v>111</v>
      </c>
      <c r="F33" s="195"/>
      <c r="G33" s="186">
        <v>10</v>
      </c>
      <c r="H33" s="49"/>
      <c r="I33" s="195"/>
      <c r="J33" s="195"/>
      <c r="K33" s="195"/>
      <c r="L33" s="195"/>
      <c r="M33" s="195"/>
      <c r="N33" s="195"/>
      <c r="O33" s="195"/>
      <c r="P33" s="195"/>
      <c r="Q33" s="195"/>
      <c r="R33" s="195"/>
      <c r="S33" s="195"/>
      <c r="T33" s="195"/>
      <c r="U33" s="195"/>
      <c r="V33" s="195"/>
      <c r="W33" s="195"/>
      <c r="X33" s="195"/>
    </row>
    <row r="34" spans="3:24" s="177" customFormat="1" ht="15.6" x14ac:dyDescent="0.3">
      <c r="C34" s="195"/>
      <c r="D34" s="195"/>
      <c r="E34" s="397" t="s">
        <v>113</v>
      </c>
      <c r="F34" s="195"/>
      <c r="G34" s="186">
        <v>24</v>
      </c>
      <c r="H34" s="49"/>
      <c r="I34" s="195"/>
      <c r="J34" s="195"/>
      <c r="K34" s="195"/>
      <c r="L34" s="195"/>
      <c r="M34" s="195"/>
      <c r="N34" s="195"/>
      <c r="O34" s="195"/>
      <c r="P34" s="195"/>
      <c r="Q34" s="195"/>
      <c r="R34" s="195"/>
      <c r="S34" s="195"/>
      <c r="T34" s="195"/>
      <c r="U34" s="195"/>
      <c r="V34" s="195"/>
      <c r="W34" s="195"/>
      <c r="X34" s="195"/>
    </row>
    <row r="35" spans="3:24" s="177" customFormat="1" ht="15.6" x14ac:dyDescent="0.3">
      <c r="C35" s="195"/>
      <c r="D35" s="195"/>
      <c r="E35" s="397" t="s">
        <v>115</v>
      </c>
      <c r="F35" s="195"/>
      <c r="G35" s="186">
        <v>1</v>
      </c>
      <c r="H35" s="195"/>
      <c r="I35" s="195"/>
      <c r="J35" s="195"/>
      <c r="K35" s="195"/>
      <c r="L35" s="195"/>
      <c r="M35" s="195"/>
      <c r="N35" s="195"/>
      <c r="O35" s="195"/>
      <c r="P35" s="195"/>
      <c r="Q35" s="195"/>
      <c r="R35" s="195"/>
      <c r="S35" s="195"/>
      <c r="T35" s="195"/>
      <c r="U35" s="195"/>
      <c r="V35" s="195"/>
      <c r="W35" s="195"/>
      <c r="X35" s="195"/>
    </row>
    <row r="36" spans="3:24" s="177" customFormat="1" ht="15.6" x14ac:dyDescent="0.3">
      <c r="C36" s="195"/>
      <c r="D36" s="195"/>
      <c r="E36" s="397" t="s">
        <v>117</v>
      </c>
      <c r="F36" s="195"/>
      <c r="G36" s="186">
        <v>5</v>
      </c>
      <c r="H36" s="195"/>
      <c r="I36" s="195"/>
      <c r="J36" s="195"/>
      <c r="K36" s="195"/>
      <c r="L36" s="195"/>
      <c r="M36" s="195"/>
      <c r="N36" s="195"/>
      <c r="O36" s="195"/>
      <c r="P36" s="49"/>
      <c r="Q36" s="49"/>
      <c r="R36" s="49"/>
      <c r="S36" s="49"/>
      <c r="T36" s="49"/>
      <c r="U36" s="49"/>
      <c r="V36" s="49"/>
      <c r="W36" s="49"/>
      <c r="X36" s="49"/>
    </row>
    <row r="37" spans="3:24" s="177" customFormat="1" ht="14.4" x14ac:dyDescent="0.3">
      <c r="C37" s="195"/>
      <c r="D37" s="195"/>
      <c r="E37" s="195"/>
      <c r="F37" s="195"/>
      <c r="G37" s="195"/>
      <c r="H37" s="195"/>
      <c r="I37" s="195"/>
      <c r="J37" s="195"/>
      <c r="K37" s="195"/>
      <c r="L37" s="195"/>
      <c r="M37" s="195"/>
      <c r="N37" s="195"/>
      <c r="O37" s="195"/>
      <c r="P37" s="49"/>
      <c r="Q37" s="49"/>
      <c r="R37" s="49"/>
      <c r="S37" s="49"/>
      <c r="T37" s="49"/>
      <c r="U37" s="49"/>
      <c r="V37" s="49"/>
      <c r="W37" s="49"/>
      <c r="X37" s="49"/>
    </row>
    <row r="38" spans="3:24" s="177" customFormat="1" ht="15" thickBot="1" x14ac:dyDescent="0.35">
      <c r="C38" s="195"/>
      <c r="D38" s="195"/>
      <c r="E38" s="195"/>
      <c r="F38" s="195"/>
      <c r="G38" s="195"/>
      <c r="H38" s="195"/>
      <c r="I38" s="195"/>
      <c r="J38" s="195"/>
      <c r="K38" s="195"/>
      <c r="L38" s="195"/>
      <c r="M38" s="195"/>
      <c r="N38" s="195"/>
      <c r="O38" s="195"/>
      <c r="P38" s="49"/>
      <c r="Q38" s="49"/>
      <c r="R38" s="49"/>
      <c r="S38" s="49"/>
      <c r="T38" s="49"/>
      <c r="U38" s="49"/>
      <c r="V38" s="49"/>
      <c r="W38" s="49"/>
      <c r="X38" s="49"/>
    </row>
    <row r="39" spans="3:24" s="177" customFormat="1" ht="23.4" x14ac:dyDescent="0.45">
      <c r="C39" s="188" t="s">
        <v>188</v>
      </c>
      <c r="D39" s="189"/>
      <c r="E39" s="189"/>
      <c r="F39" s="398"/>
      <c r="G39" s="398"/>
      <c r="H39" s="190"/>
      <c r="I39" s="398"/>
      <c r="J39" s="398"/>
      <c r="K39" s="398"/>
      <c r="L39" s="399"/>
      <c r="M39" s="195"/>
      <c r="N39" s="195"/>
      <c r="O39" s="195"/>
      <c r="P39" s="49"/>
      <c r="Q39" s="49"/>
      <c r="R39" s="49"/>
      <c r="S39" s="49"/>
      <c r="T39" s="49"/>
      <c r="U39" s="49"/>
      <c r="V39" s="49"/>
      <c r="W39" s="49"/>
      <c r="X39" s="49"/>
    </row>
    <row r="40" spans="3:24" s="177" customFormat="1" ht="32.25" customHeight="1" x14ac:dyDescent="0.3">
      <c r="C40" s="400"/>
      <c r="D40" s="195"/>
      <c r="E40" s="195"/>
      <c r="F40" s="195"/>
      <c r="G40" s="195"/>
      <c r="H40" s="195"/>
      <c r="I40" s="195"/>
      <c r="J40" s="195"/>
      <c r="K40" s="195"/>
      <c r="L40" s="401"/>
      <c r="M40" s="195"/>
      <c r="N40" s="195"/>
      <c r="O40" s="195"/>
      <c r="P40" s="49"/>
      <c r="Q40" s="49"/>
      <c r="R40" s="49"/>
      <c r="S40" s="49"/>
      <c r="T40" s="49"/>
      <c r="U40" s="49"/>
      <c r="V40" s="49"/>
      <c r="W40" s="49"/>
      <c r="X40" s="49"/>
    </row>
    <row r="41" spans="3:24" s="177" customFormat="1" ht="15" thickBot="1" x14ac:dyDescent="0.35">
      <c r="C41" s="400"/>
      <c r="D41" s="195"/>
      <c r="E41" s="195"/>
      <c r="F41" s="195"/>
      <c r="G41" s="195"/>
      <c r="H41" s="195"/>
      <c r="I41" s="195"/>
      <c r="J41" s="195"/>
      <c r="K41" s="195"/>
      <c r="L41" s="401"/>
      <c r="M41" s="195"/>
      <c r="N41" s="195"/>
      <c r="O41" s="195"/>
      <c r="P41" s="49"/>
      <c r="Q41" s="49"/>
      <c r="R41" s="49"/>
      <c r="S41" s="49"/>
      <c r="T41" s="49"/>
      <c r="U41" s="49"/>
      <c r="V41" s="49"/>
      <c r="W41" s="49"/>
      <c r="X41" s="49"/>
    </row>
    <row r="42" spans="3:24" s="177" customFormat="1" ht="14.4" x14ac:dyDescent="0.3">
      <c r="C42" s="400"/>
      <c r="D42" s="195"/>
      <c r="E42" s="561" t="s">
        <v>188</v>
      </c>
      <c r="F42" s="195"/>
      <c r="G42" s="563" t="s">
        <v>189</v>
      </c>
      <c r="H42" s="564"/>
      <c r="I42" s="564"/>
      <c r="J42" s="564"/>
      <c r="K42" s="565"/>
      <c r="L42" s="401"/>
      <c r="M42" s="195"/>
      <c r="N42" s="195"/>
      <c r="O42" s="195"/>
      <c r="P42" s="49"/>
      <c r="Q42" s="49"/>
      <c r="R42" s="49"/>
      <c r="S42" s="49"/>
      <c r="T42" s="49"/>
      <c r="U42" s="49"/>
      <c r="V42" s="49"/>
      <c r="W42" s="49"/>
      <c r="X42" s="49"/>
    </row>
    <row r="43" spans="3:24" s="177" customFormat="1" ht="14.4" x14ac:dyDescent="0.3">
      <c r="C43" s="400"/>
      <c r="D43" s="195"/>
      <c r="E43" s="561"/>
      <c r="F43" s="195"/>
      <c r="G43" s="191" t="s">
        <v>190</v>
      </c>
      <c r="H43" s="192" t="s">
        <v>191</v>
      </c>
      <c r="I43" s="192" t="s">
        <v>192</v>
      </c>
      <c r="J43" s="192" t="s">
        <v>193</v>
      </c>
      <c r="K43" s="193" t="s">
        <v>194</v>
      </c>
      <c r="L43" s="401"/>
      <c r="M43" s="195"/>
      <c r="N43" s="195"/>
      <c r="O43" s="195"/>
      <c r="P43" s="49"/>
      <c r="Q43" s="49"/>
      <c r="R43" s="49"/>
      <c r="S43" s="49"/>
      <c r="T43" s="49"/>
      <c r="U43" s="49"/>
      <c r="V43" s="49"/>
      <c r="W43" s="49"/>
      <c r="X43" s="49"/>
    </row>
    <row r="44" spans="3:24" s="177" customFormat="1" ht="14.4" x14ac:dyDescent="0.3">
      <c r="C44" s="400"/>
      <c r="D44" s="195"/>
      <c r="E44" s="561"/>
      <c r="F44" s="195"/>
      <c r="G44" s="194" t="s">
        <v>195</v>
      </c>
      <c r="H44" s="402">
        <f>VLOOKUP(UserInputs!$D$4,FabricMapping!$E$110:$J$112,4,0)</f>
        <v>0.4</v>
      </c>
      <c r="I44" s="402">
        <f>VLOOKUP(UserInputs!$D$4,FabricMapping!$E$110:$J$112,5,0)</f>
        <v>0.35</v>
      </c>
      <c r="J44" s="402">
        <f>VLOOKUP(UserInputs!$D$4,FabricMapping!$E$110:$J$112,6,0)</f>
        <v>0.25</v>
      </c>
      <c r="K44" s="403">
        <f>$G$7</f>
        <v>0.3</v>
      </c>
      <c r="L44" s="401"/>
      <c r="M44" s="195"/>
      <c r="N44" s="195"/>
      <c r="O44" s="195"/>
      <c r="P44" s="49"/>
      <c r="Q44" s="49"/>
      <c r="R44" s="49"/>
      <c r="S44" s="49"/>
      <c r="T44" s="49"/>
      <c r="U44" s="49"/>
      <c r="V44" s="49"/>
      <c r="W44" s="49"/>
      <c r="X44" s="49"/>
    </row>
    <row r="45" spans="3:24" s="177" customFormat="1" ht="14.4" x14ac:dyDescent="0.3">
      <c r="C45" s="400"/>
      <c r="D45" s="195"/>
      <c r="E45" s="561"/>
      <c r="F45" s="195"/>
      <c r="G45" s="194" t="s">
        <v>196</v>
      </c>
      <c r="H45" s="404">
        <f>$G$4*H44</f>
        <v>4000</v>
      </c>
      <c r="I45" s="404">
        <f>$G$4*I44</f>
        <v>3500</v>
      </c>
      <c r="J45" s="404">
        <f>$G$4*J44</f>
        <v>2500</v>
      </c>
      <c r="K45" s="405">
        <f>IF(I45=0,(AVERAGE(J45)*K44),(AVERAGE(I45:J45)*K44))</f>
        <v>900</v>
      </c>
      <c r="L45" s="401"/>
      <c r="M45" s="195"/>
      <c r="N45" s="195"/>
      <c r="O45" s="195"/>
      <c r="P45" s="49"/>
      <c r="Q45" s="49"/>
      <c r="R45" s="49"/>
      <c r="S45" s="49"/>
      <c r="T45" s="49"/>
      <c r="U45" s="49"/>
      <c r="V45" s="49"/>
      <c r="W45" s="49"/>
      <c r="X45" s="49"/>
    </row>
    <row r="46" spans="3:24" s="177" customFormat="1" ht="14.4" x14ac:dyDescent="0.3">
      <c r="C46" s="400"/>
      <c r="D46" s="195"/>
      <c r="E46" s="561"/>
      <c r="F46" s="195"/>
      <c r="G46" s="194" t="s">
        <v>197</v>
      </c>
      <c r="H46" s="404">
        <f>H45*6</f>
        <v>24000</v>
      </c>
      <c r="I46" s="404">
        <f>I45*6</f>
        <v>21000</v>
      </c>
      <c r="J46" s="404">
        <f>J45*6</f>
        <v>15000</v>
      </c>
      <c r="K46" s="405">
        <f>K45*6</f>
        <v>5400</v>
      </c>
      <c r="L46" s="401"/>
      <c r="M46" s="195"/>
      <c r="N46" s="195"/>
      <c r="O46" s="195"/>
      <c r="P46" s="49"/>
      <c r="Q46" s="49"/>
      <c r="R46" s="49"/>
      <c r="S46" s="49"/>
      <c r="T46" s="49"/>
      <c r="U46" s="49"/>
      <c r="V46" s="49"/>
      <c r="W46" s="49"/>
      <c r="X46" s="49"/>
    </row>
    <row r="47" spans="3:24" s="177" customFormat="1" ht="15" thickBot="1" x14ac:dyDescent="0.35">
      <c r="C47" s="400"/>
      <c r="D47" s="195"/>
      <c r="E47" s="561"/>
      <c r="F47" s="195"/>
      <c r="G47" s="196" t="s">
        <v>198</v>
      </c>
      <c r="H47" s="406">
        <f>IFERROR(ROUNDUP(H46/'Fabric Working Model-Avg'!$P$14,0),0)</f>
        <v>12000</v>
      </c>
      <c r="I47" s="406">
        <f>I45</f>
        <v>3500</v>
      </c>
      <c r="J47" s="406">
        <f>J45</f>
        <v>2500</v>
      </c>
      <c r="K47" s="407"/>
      <c r="L47" s="401"/>
      <c r="M47" s="195"/>
      <c r="N47" s="195"/>
      <c r="O47" s="195"/>
      <c r="P47" s="49"/>
      <c r="Q47" s="49"/>
      <c r="R47" s="49"/>
      <c r="S47" s="49"/>
      <c r="T47" s="49"/>
      <c r="U47" s="49"/>
      <c r="V47" s="49"/>
      <c r="W47" s="49"/>
      <c r="X47" s="49"/>
    </row>
    <row r="48" spans="3:24" s="177" customFormat="1" ht="15" thickBot="1" x14ac:dyDescent="0.35">
      <c r="C48" s="400"/>
      <c r="D48" s="195"/>
      <c r="E48" s="561"/>
      <c r="F48" s="195"/>
      <c r="G48" s="195"/>
      <c r="H48" s="195"/>
      <c r="I48" s="195"/>
      <c r="J48" s="195"/>
      <c r="K48" s="195"/>
      <c r="L48" s="401"/>
      <c r="M48" s="195"/>
      <c r="N48" s="195"/>
      <c r="O48" s="195"/>
      <c r="P48" s="49"/>
      <c r="Q48" s="49"/>
      <c r="R48" s="49"/>
      <c r="S48" s="49"/>
      <c r="T48" s="49"/>
      <c r="U48" s="49"/>
      <c r="V48" s="49"/>
      <c r="W48" s="49"/>
      <c r="X48" s="49"/>
    </row>
    <row r="49" spans="2:25" s="177" customFormat="1" ht="14.4" x14ac:dyDescent="0.3">
      <c r="B49" s="195"/>
      <c r="C49" s="400"/>
      <c r="D49" s="195"/>
      <c r="E49" s="561"/>
      <c r="F49" s="195"/>
      <c r="G49" s="563" t="s">
        <v>199</v>
      </c>
      <c r="H49" s="564"/>
      <c r="I49" s="564"/>
      <c r="J49" s="564"/>
      <c r="K49" s="565"/>
      <c r="L49" s="401"/>
      <c r="M49" s="195"/>
      <c r="N49" s="195"/>
      <c r="O49" s="195"/>
      <c r="P49" s="49"/>
      <c r="Q49" s="49"/>
      <c r="R49" s="49"/>
      <c r="S49" s="49"/>
      <c r="T49" s="49"/>
      <c r="U49" s="49"/>
      <c r="V49" s="49"/>
      <c r="W49" s="49"/>
      <c r="X49" s="49"/>
      <c r="Y49" s="195"/>
    </row>
    <row r="50" spans="2:25" s="177" customFormat="1" ht="14.4" x14ac:dyDescent="0.3">
      <c r="B50" s="195"/>
      <c r="C50" s="400"/>
      <c r="D50" s="195"/>
      <c r="E50" s="561"/>
      <c r="F50" s="195"/>
      <c r="G50" s="194" t="s">
        <v>200</v>
      </c>
      <c r="H50" s="197" t="s">
        <v>149</v>
      </c>
      <c r="I50" s="197" t="s">
        <v>150</v>
      </c>
      <c r="J50" s="197" t="s">
        <v>99</v>
      </c>
      <c r="K50" s="198"/>
      <c r="L50" s="401"/>
      <c r="M50" s="195"/>
      <c r="N50" s="195"/>
      <c r="O50" s="195"/>
      <c r="P50" s="49"/>
      <c r="Q50" s="49"/>
      <c r="R50" s="49"/>
      <c r="S50" s="49"/>
      <c r="T50" s="49"/>
      <c r="U50" s="49"/>
      <c r="V50" s="49"/>
      <c r="W50" s="49"/>
      <c r="X50" s="49"/>
      <c r="Y50" s="195"/>
    </row>
    <row r="51" spans="2:25" s="177" customFormat="1" ht="15" thickBot="1" x14ac:dyDescent="0.35">
      <c r="B51" s="195"/>
      <c r="C51" s="400"/>
      <c r="D51" s="195"/>
      <c r="E51" s="561"/>
      <c r="F51" s="195"/>
      <c r="G51" s="196"/>
      <c r="H51" s="199">
        <f>J317</f>
        <v>290</v>
      </c>
      <c r="I51" s="199">
        <f>H303</f>
        <v>0.39</v>
      </c>
      <c r="J51" s="199">
        <f>H309</f>
        <v>53</v>
      </c>
      <c r="K51" s="200"/>
      <c r="L51" s="401"/>
      <c r="M51" s="49"/>
      <c r="N51" s="49"/>
      <c r="O51" s="195"/>
      <c r="P51" s="49"/>
      <c r="Q51" s="49"/>
      <c r="R51" s="49"/>
      <c r="S51" s="49"/>
      <c r="T51" s="49"/>
      <c r="U51" s="49"/>
      <c r="V51" s="49"/>
      <c r="W51" s="49"/>
      <c r="X51" s="49"/>
      <c r="Y51" s="195"/>
    </row>
    <row r="52" spans="2:25" s="177" customFormat="1" ht="15" thickBot="1" x14ac:dyDescent="0.35">
      <c r="B52" s="195"/>
      <c r="C52" s="400"/>
      <c r="D52" s="195"/>
      <c r="E52" s="561"/>
      <c r="F52" s="195"/>
      <c r="G52" s="195"/>
      <c r="H52" s="195"/>
      <c r="I52" s="195"/>
      <c r="J52" s="195"/>
      <c r="K52" s="195"/>
      <c r="L52" s="401"/>
      <c r="M52" s="49"/>
      <c r="N52" s="49"/>
      <c r="O52" s="195"/>
      <c r="P52" s="49"/>
      <c r="Q52" s="49"/>
      <c r="R52" s="49"/>
      <c r="S52" s="49"/>
      <c r="T52" s="49"/>
      <c r="U52" s="49"/>
      <c r="V52" s="49"/>
      <c r="W52" s="49"/>
      <c r="X52" s="49"/>
      <c r="Y52" s="195"/>
    </row>
    <row r="53" spans="2:25" s="177" customFormat="1" ht="15" thickBot="1" x14ac:dyDescent="0.35">
      <c r="B53" s="195"/>
      <c r="C53" s="400"/>
      <c r="D53" s="195"/>
      <c r="E53" s="561"/>
      <c r="F53" s="195"/>
      <c r="G53" s="201"/>
      <c r="H53" s="564" t="s">
        <v>355</v>
      </c>
      <c r="I53" s="565"/>
      <c r="J53" s="563" t="s">
        <v>202</v>
      </c>
      <c r="K53" s="565"/>
      <c r="L53" s="401"/>
      <c r="M53" s="49"/>
      <c r="N53" s="49"/>
      <c r="O53" s="195"/>
      <c r="P53" s="195"/>
      <c r="Q53" s="49"/>
      <c r="R53" s="49"/>
      <c r="S53" s="49"/>
      <c r="T53" s="49"/>
      <c r="U53" s="49"/>
      <c r="V53" s="49"/>
      <c r="W53" s="49"/>
      <c r="X53" s="49"/>
      <c r="Y53" s="49"/>
    </row>
    <row r="54" spans="2:25" s="177" customFormat="1" ht="15" thickBot="1" x14ac:dyDescent="0.35">
      <c r="B54" s="195"/>
      <c r="C54" s="400"/>
      <c r="D54" s="195"/>
      <c r="E54" s="561"/>
      <c r="F54" s="195"/>
      <c r="G54" s="471" t="s">
        <v>203</v>
      </c>
      <c r="H54" s="610">
        <f>IFERROR(SUM(H47:J47)+SUM(H51:K51),0)</f>
        <v>18343.39</v>
      </c>
      <c r="I54" s="611"/>
      <c r="J54" s="608">
        <f>I309+I51</f>
        <v>10.532857142857143</v>
      </c>
      <c r="K54" s="609"/>
      <c r="L54" s="401"/>
      <c r="M54" s="49"/>
      <c r="N54" s="49"/>
      <c r="O54" s="195"/>
      <c r="P54" s="195"/>
      <c r="Q54" s="49"/>
      <c r="R54" s="49"/>
      <c r="S54" s="49"/>
      <c r="T54" s="49"/>
      <c r="U54" s="49"/>
      <c r="V54" s="49"/>
      <c r="W54" s="49"/>
      <c r="X54" s="49"/>
      <c r="Y54" s="49"/>
    </row>
    <row r="55" spans="2:25" s="177" customFormat="1" ht="15" hidden="1" thickBot="1" x14ac:dyDescent="0.35">
      <c r="B55" s="195"/>
      <c r="C55" s="400"/>
      <c r="D55" s="195"/>
      <c r="E55" s="561"/>
      <c r="F55" s="195"/>
      <c r="G55" s="203" t="s">
        <v>204</v>
      </c>
      <c r="H55" s="606">
        <f>H54*Cost_Setup!$H$7</f>
        <v>421.89796999999999</v>
      </c>
      <c r="I55" s="607"/>
      <c r="J55" s="602">
        <f>J54*Cost_Setup!$I$7</f>
        <v>2.5910828571428572</v>
      </c>
      <c r="K55" s="603"/>
      <c r="L55" s="401"/>
      <c r="M55" s="49"/>
      <c r="N55" s="49"/>
      <c r="O55" s="195"/>
      <c r="P55" s="195"/>
      <c r="Q55" s="49"/>
      <c r="R55" s="49"/>
      <c r="S55" s="49"/>
      <c r="T55" s="49"/>
      <c r="U55" s="49"/>
      <c r="V55" s="49"/>
      <c r="W55" s="49"/>
      <c r="X55" s="49"/>
      <c r="Y55" s="49"/>
    </row>
    <row r="56" spans="2:25" s="177" customFormat="1" ht="15" thickBot="1" x14ac:dyDescent="0.35">
      <c r="B56" s="195"/>
      <c r="C56" s="400"/>
      <c r="D56" s="195"/>
      <c r="E56" s="472"/>
      <c r="F56" s="195"/>
      <c r="G56" s="49"/>
      <c r="H56" s="487"/>
      <c r="I56" s="487"/>
      <c r="J56" s="488"/>
      <c r="K56" s="488"/>
      <c r="L56" s="401"/>
      <c r="M56" s="49"/>
      <c r="N56" s="49"/>
      <c r="O56" s="195"/>
      <c r="P56" s="195"/>
      <c r="Q56" s="49"/>
      <c r="R56" s="49"/>
      <c r="S56" s="49"/>
      <c r="T56" s="49"/>
      <c r="U56" s="49"/>
      <c r="V56" s="49"/>
      <c r="W56" s="49"/>
      <c r="X56" s="49"/>
      <c r="Y56" s="49"/>
    </row>
    <row r="57" spans="2:25" s="177" customFormat="1" ht="14.4" x14ac:dyDescent="0.3">
      <c r="B57" s="195"/>
      <c r="C57" s="400"/>
      <c r="D57" s="195"/>
      <c r="E57" s="472"/>
      <c r="F57" s="195"/>
      <c r="G57" s="229" t="s">
        <v>205</v>
      </c>
      <c r="H57" s="489" t="s">
        <v>206</v>
      </c>
      <c r="I57" s="489" t="s">
        <v>207</v>
      </c>
      <c r="J57" s="489" t="s">
        <v>208</v>
      </c>
      <c r="K57" s="490" t="s">
        <v>209</v>
      </c>
      <c r="L57" s="401"/>
      <c r="M57" s="49"/>
      <c r="N57" s="49"/>
      <c r="O57" s="195"/>
      <c r="P57" s="195"/>
      <c r="Q57" s="49"/>
      <c r="R57" s="49"/>
      <c r="S57" s="49"/>
      <c r="T57" s="49"/>
      <c r="U57" s="49"/>
      <c r="V57" s="49"/>
      <c r="W57" s="49"/>
      <c r="X57" s="49"/>
      <c r="Y57" s="49"/>
    </row>
    <row r="58" spans="2:25" s="177" customFormat="1" ht="15" thickBot="1" x14ac:dyDescent="0.35">
      <c r="B58" s="195"/>
      <c r="C58" s="400"/>
      <c r="D58" s="195"/>
      <c r="E58" s="472"/>
      <c r="F58" s="195"/>
      <c r="G58" s="491">
        <f>G96+G123+G153+G189</f>
        <v>4</v>
      </c>
      <c r="H58" s="492">
        <f>H96+H123+H153+H189</f>
        <v>28</v>
      </c>
      <c r="I58" s="492">
        <f>I96+I123+I153+I189</f>
        <v>8</v>
      </c>
      <c r="J58" s="492">
        <f>J96+J123+J153+J189</f>
        <v>50</v>
      </c>
      <c r="K58" s="493">
        <f>K96+K123+K153+K189</f>
        <v>90</v>
      </c>
      <c r="L58" s="401"/>
      <c r="M58" s="49"/>
      <c r="N58" s="49"/>
      <c r="O58" s="195"/>
      <c r="P58" s="195"/>
      <c r="Q58" s="49"/>
      <c r="R58" s="49"/>
      <c r="S58" s="49"/>
      <c r="T58" s="49"/>
      <c r="U58" s="49"/>
      <c r="V58" s="49"/>
      <c r="W58" s="49"/>
      <c r="X58" s="49"/>
      <c r="Y58" s="49"/>
    </row>
    <row r="59" spans="2:25" s="177" customFormat="1" ht="14.4" x14ac:dyDescent="0.3">
      <c r="B59" s="195"/>
      <c r="C59" s="400"/>
      <c r="D59" s="195"/>
      <c r="E59" s="195"/>
      <c r="F59" s="195"/>
      <c r="G59" s="195"/>
      <c r="H59" s="195"/>
      <c r="I59" s="195"/>
      <c r="J59" s="195"/>
      <c r="K59" s="195"/>
      <c r="L59" s="401"/>
      <c r="M59" s="49"/>
      <c r="N59" s="49"/>
      <c r="O59" s="195"/>
      <c r="P59" s="49"/>
      <c r="Q59" s="49"/>
      <c r="R59" s="49"/>
      <c r="S59" s="49"/>
      <c r="T59" s="49"/>
      <c r="U59" s="49"/>
      <c r="V59" s="49"/>
      <c r="W59" s="49"/>
      <c r="X59" s="49"/>
      <c r="Y59" s="195"/>
    </row>
    <row r="60" spans="2:25" s="177" customFormat="1" ht="14.4" hidden="1" x14ac:dyDescent="0.3">
      <c r="B60" s="195"/>
      <c r="C60" s="400"/>
      <c r="D60" s="195"/>
      <c r="E60" s="195"/>
      <c r="F60" s="195"/>
      <c r="G60" s="195"/>
      <c r="H60" s="195"/>
      <c r="I60" s="195"/>
      <c r="J60" s="195"/>
      <c r="K60" s="195"/>
      <c r="L60" s="401"/>
      <c r="M60" s="49"/>
      <c r="N60" s="49"/>
      <c r="O60" s="195"/>
      <c r="P60" s="49"/>
      <c r="Q60" s="49"/>
      <c r="R60" s="49"/>
      <c r="S60" s="49"/>
      <c r="T60" s="49"/>
      <c r="U60" s="49"/>
      <c r="V60" s="49"/>
      <c r="W60" s="49"/>
      <c r="X60" s="49"/>
      <c r="Y60" s="195"/>
    </row>
    <row r="61" spans="2:25" s="177" customFormat="1" ht="15" hidden="1" thickBot="1" x14ac:dyDescent="0.35">
      <c r="B61" s="195"/>
      <c r="C61" s="400"/>
      <c r="D61" s="195"/>
      <c r="E61" s="590" t="s">
        <v>210</v>
      </c>
      <c r="F61" s="591"/>
      <c r="G61" s="591"/>
      <c r="H61" s="591"/>
      <c r="I61" s="591"/>
      <c r="J61" s="591"/>
      <c r="K61" s="592"/>
      <c r="L61" s="401"/>
      <c r="M61" s="204"/>
      <c r="N61" s="195"/>
      <c r="O61" s="195"/>
      <c r="P61" s="49"/>
      <c r="Q61" s="49"/>
      <c r="R61" s="49"/>
      <c r="S61" s="49"/>
      <c r="T61" s="49"/>
      <c r="U61" s="49"/>
      <c r="V61" s="49"/>
      <c r="W61" s="49"/>
      <c r="X61" s="49"/>
      <c r="Y61" s="195"/>
    </row>
    <row r="62" spans="2:25" s="177" customFormat="1" ht="14.4" hidden="1" x14ac:dyDescent="0.3">
      <c r="B62" s="195"/>
      <c r="C62" s="400"/>
      <c r="D62" s="195"/>
      <c r="E62" s="205"/>
      <c r="F62" s="195"/>
      <c r="G62" s="206" t="s">
        <v>191</v>
      </c>
      <c r="H62" s="206" t="s">
        <v>192</v>
      </c>
      <c r="I62" s="206" t="s">
        <v>193</v>
      </c>
      <c r="J62" s="206" t="s">
        <v>212</v>
      </c>
      <c r="K62" s="207" t="s">
        <v>213</v>
      </c>
      <c r="L62" s="401"/>
      <c r="M62" s="195"/>
      <c r="N62" s="195"/>
      <c r="O62" s="195"/>
      <c r="P62" s="49"/>
      <c r="Q62" s="49"/>
      <c r="R62" s="49"/>
      <c r="S62" s="49"/>
      <c r="T62" s="49"/>
      <c r="U62" s="49"/>
      <c r="V62" s="49"/>
      <c r="W62" s="49"/>
      <c r="X62" s="49"/>
      <c r="Y62" s="195"/>
    </row>
    <row r="63" spans="2:25" s="177" customFormat="1" ht="14.4" hidden="1" x14ac:dyDescent="0.3">
      <c r="B63" s="195"/>
      <c r="C63" s="400"/>
      <c r="D63" s="195"/>
      <c r="E63" s="202" t="s">
        <v>214</v>
      </c>
      <c r="F63" s="195"/>
      <c r="G63" s="208">
        <f>IFERROR(IF(OR(RIGHT(G8,1)="%",ISNUMBER(G8)),H47*$G$8*H44,_xlfn.NUMBERVALUE(LEFT(G8,LEN(G8)-2))),0)</f>
        <v>10</v>
      </c>
      <c r="H63" s="208">
        <f>G63*I44</f>
        <v>3.5</v>
      </c>
      <c r="I63" s="208">
        <f>H63*J44</f>
        <v>0.875</v>
      </c>
      <c r="J63" s="209"/>
      <c r="K63" s="210"/>
      <c r="L63" s="401"/>
      <c r="M63" s="195"/>
      <c r="N63" s="195"/>
      <c r="O63" s="195"/>
      <c r="P63" s="49"/>
      <c r="Q63" s="49"/>
      <c r="R63" s="49"/>
      <c r="S63" s="49"/>
      <c r="T63" s="49"/>
      <c r="U63" s="49"/>
      <c r="V63" s="49"/>
      <c r="W63" s="49"/>
      <c r="X63" s="49"/>
      <c r="Y63" s="195"/>
    </row>
    <row r="64" spans="2:25" s="177" customFormat="1" ht="14.4" hidden="1" x14ac:dyDescent="0.3">
      <c r="B64" s="195"/>
      <c r="C64" s="400"/>
      <c r="D64" s="195"/>
      <c r="E64" s="202" t="s">
        <v>215</v>
      </c>
      <c r="F64" s="195"/>
      <c r="G64" s="211">
        <v>13</v>
      </c>
      <c r="H64" s="211">
        <v>36</v>
      </c>
      <c r="I64" s="211">
        <v>60</v>
      </c>
      <c r="J64" s="209"/>
      <c r="K64" s="210"/>
      <c r="L64" s="401"/>
      <c r="M64" s="195"/>
      <c r="N64" s="195"/>
      <c r="O64" s="195"/>
      <c r="P64" s="49"/>
      <c r="Q64" s="49"/>
      <c r="R64" s="49"/>
      <c r="S64" s="49"/>
      <c r="T64" s="49"/>
      <c r="U64" s="49"/>
      <c r="V64" s="49"/>
      <c r="W64" s="49"/>
      <c r="X64" s="49"/>
      <c r="Y64" s="195"/>
    </row>
    <row r="65" spans="2:25" s="177" customFormat="1" ht="14.4" hidden="1" x14ac:dyDescent="0.3">
      <c r="B65" s="195"/>
      <c r="C65" s="400"/>
      <c r="D65" s="195"/>
      <c r="E65" s="202" t="s">
        <v>216</v>
      </c>
      <c r="F65" s="195"/>
      <c r="G65" s="212">
        <f>H47</f>
        <v>12000</v>
      </c>
      <c r="H65" s="212">
        <f>I47</f>
        <v>3500</v>
      </c>
      <c r="I65" s="212">
        <f>J47</f>
        <v>2500</v>
      </c>
      <c r="J65" s="212">
        <f>SUM(G65:I65)</f>
        <v>18000</v>
      </c>
      <c r="K65" s="213">
        <f>J65*Cost_Setup!$H$7*12</f>
        <v>4968</v>
      </c>
      <c r="L65" s="401"/>
      <c r="M65" s="195"/>
      <c r="N65" s="195"/>
      <c r="O65" s="195"/>
      <c r="P65" s="49"/>
      <c r="Q65" s="49"/>
      <c r="R65" s="49"/>
      <c r="S65" s="49"/>
      <c r="T65" s="49"/>
      <c r="U65" s="49"/>
      <c r="V65" s="49"/>
      <c r="W65" s="49"/>
      <c r="X65" s="49"/>
      <c r="Y65" s="195"/>
    </row>
    <row r="66" spans="2:25" s="177" customFormat="1" ht="14.4" hidden="1" x14ac:dyDescent="0.3">
      <c r="B66" s="195"/>
      <c r="C66" s="400"/>
      <c r="D66" s="195"/>
      <c r="E66" s="202" t="s">
        <v>217</v>
      </c>
      <c r="F66" s="195"/>
      <c r="G66" s="212">
        <f>G65+(((G63*7)*52)/12)</f>
        <v>12303.333333333334</v>
      </c>
      <c r="H66" s="212">
        <f>IFERROR(IF(OR(RIGHT(G8,1)="%",ISNUMBER(G8)),(H65*_xlfn.NUMBERVALUE($G$8))+H65,_xlfn.NUMBERVALUE(LEFT(G8,LEN(G8)-2))+H65),0)</f>
        <v>3510</v>
      </c>
      <c r="I66" s="212">
        <f>IFERROR(IF(OR(RIGHT(G8,1)="%",ISNUMBER(G8)),(I65*_xlfn.NUMBERVALUE($G$8))+I65,_xlfn.NUMBERVALUE(LEFT(G8,LEN(G8)-2))+I65),0)</f>
        <v>2510</v>
      </c>
      <c r="J66" s="212">
        <f t="shared" ref="J66:J69" si="2">SUM(G66:I66)</f>
        <v>18323.333333333336</v>
      </c>
      <c r="K66" s="213">
        <f>J66*Cost_Setup!$H$7*12</f>
        <v>5057.2400000000007</v>
      </c>
      <c r="L66" s="401"/>
      <c r="M66" s="195"/>
      <c r="N66" s="195"/>
      <c r="O66" s="195"/>
      <c r="P66" s="49"/>
      <c r="Q66" s="49"/>
      <c r="R66" s="49"/>
      <c r="S66" s="49"/>
      <c r="T66" s="49"/>
      <c r="U66" s="49"/>
      <c r="V66" s="49"/>
      <c r="W66" s="49"/>
      <c r="X66" s="49"/>
      <c r="Y66" s="195"/>
    </row>
    <row r="67" spans="2:25" s="177" customFormat="1" ht="14.4" hidden="1" x14ac:dyDescent="0.3">
      <c r="B67" s="195"/>
      <c r="C67" s="400"/>
      <c r="D67" s="195"/>
      <c r="E67" s="202" t="s">
        <v>218</v>
      </c>
      <c r="F67" s="195"/>
      <c r="G67" s="212">
        <f>IFERROR(IF(OR(RIGHT(G8,1)="%",ISNUMBER(G8)),(G66*_xlfn.NUMBERVALUE($G$8))+G66,_xlfn.NUMBERVALUE(LEFT(G8,LEN(G8)-2))+G66),0)</f>
        <v>12313.333333333334</v>
      </c>
      <c r="H67" s="212">
        <f>IFERROR(IF(OR(RIGHT(G8,1)="%",ISNUMBER(G8)),(H66*_xlfn.NUMBERVALUE($G$8))+H66,_xlfn.NUMBERVALUE(LEFT(G8,LEN(G8)-2))+H66),0)</f>
        <v>3520</v>
      </c>
      <c r="I67" s="212">
        <f>IFERROR(IF(OR(RIGHT(G8,1)="%",ISNUMBER(G8)),(I66*_xlfn.NUMBERVALUE($G$8))+I66,_xlfn.NUMBERVALUE(LEFT(G8,LEN(G8)-2))+I66),0)</f>
        <v>2520</v>
      </c>
      <c r="J67" s="212">
        <f t="shared" si="2"/>
        <v>18353.333333333336</v>
      </c>
      <c r="K67" s="213">
        <f>J67*Cost_Setup!$H$7*12</f>
        <v>5065.5200000000004</v>
      </c>
      <c r="L67" s="401"/>
      <c r="M67" s="195"/>
      <c r="N67" s="195"/>
      <c r="O67" s="195"/>
      <c r="P67" s="49"/>
      <c r="Q67" s="49"/>
      <c r="R67" s="49"/>
      <c r="S67" s="49"/>
      <c r="T67" s="49"/>
      <c r="U67" s="49"/>
      <c r="V67" s="49"/>
      <c r="W67" s="49"/>
      <c r="X67" s="49"/>
      <c r="Y67" s="195"/>
    </row>
    <row r="68" spans="2:25" s="177" customFormat="1" ht="14.4" hidden="1" x14ac:dyDescent="0.3">
      <c r="B68" s="195"/>
      <c r="C68" s="400"/>
      <c r="D68" s="195"/>
      <c r="E68" s="202" t="s">
        <v>219</v>
      </c>
      <c r="F68" s="195"/>
      <c r="G68" s="212">
        <f>IFERROR(IF(OR(RIGHT(G8,1)="%",ISNUMBER(G8)),(G67*_xlfn.NUMBERVALUE($G$8))+G67,_xlfn.NUMBERVALUE(LEFT(G8,LEN(G8)-2))+G67),0)</f>
        <v>12323.333333333334</v>
      </c>
      <c r="H68" s="212">
        <f>H66+((H$63*7*52)/12)</f>
        <v>3616.1666666666665</v>
      </c>
      <c r="I68" s="212">
        <f>IFERROR(IF(OR(RIGHT(G8,1)="%",ISNUMBER(G8)),(I67*_xlfn.NUMBERVALUE($G$8))+I67,_xlfn.NUMBERVALUE(LEFT(G8,LEN(G8)-2))+I67),0)</f>
        <v>2530</v>
      </c>
      <c r="J68" s="212">
        <f t="shared" si="2"/>
        <v>18469.5</v>
      </c>
      <c r="K68" s="213">
        <f>J68*Cost_Setup!$H$7*12</f>
        <v>5097.5820000000003</v>
      </c>
      <c r="L68" s="401"/>
      <c r="M68" s="195"/>
      <c r="N68" s="195"/>
      <c r="O68" s="195"/>
      <c r="P68" s="49"/>
      <c r="Q68" s="49"/>
      <c r="R68" s="49"/>
      <c r="S68" s="49"/>
      <c r="T68" s="49"/>
      <c r="U68" s="49"/>
      <c r="V68" s="49"/>
      <c r="W68" s="49"/>
      <c r="X68" s="49"/>
      <c r="Y68" s="195"/>
    </row>
    <row r="69" spans="2:25" s="177" customFormat="1" ht="15" hidden="1" thickBot="1" x14ac:dyDescent="0.35">
      <c r="B69" s="195"/>
      <c r="C69" s="400"/>
      <c r="D69" s="195"/>
      <c r="E69" s="203" t="s">
        <v>220</v>
      </c>
      <c r="F69" s="408"/>
      <c r="G69" s="214">
        <f>IFERROR(IF(OR(RIGHT(G8,1)="%",ISNUMBER(G8)),(G68*_xlfn.NUMBERVALUE($G$8))+G68,_xlfn.NUMBERVALUE(LEFT(G8,LEN(G8)-2))+G68),0)</f>
        <v>12333.333333333334</v>
      </c>
      <c r="H69" s="214">
        <f>H67+((H$63*7*52)/12)</f>
        <v>3626.1666666666665</v>
      </c>
      <c r="I69" s="214">
        <f>IFERROR(IF(OR(RIGHT(G8,1)="%",ISNUMBER(G8)),(I68*_xlfn.NUMBERVALUE($G$8))+I68,_xlfn.NUMBERVALUE(LEFT(G8,LEN(G8)-2))+I68),0)</f>
        <v>2540</v>
      </c>
      <c r="J69" s="214">
        <f t="shared" si="2"/>
        <v>18499.5</v>
      </c>
      <c r="K69" s="215">
        <f>J69*Cost_Setup!$H$7*12</f>
        <v>5105.8620000000001</v>
      </c>
      <c r="L69" s="401"/>
      <c r="M69" s="195"/>
      <c r="N69" s="195"/>
      <c r="O69" s="195"/>
      <c r="P69" s="49"/>
      <c r="Q69" s="49"/>
      <c r="R69" s="49"/>
      <c r="S69" s="49"/>
      <c r="T69" s="49"/>
      <c r="U69" s="49"/>
      <c r="V69" s="49"/>
      <c r="W69" s="49"/>
      <c r="X69" s="49"/>
      <c r="Y69" s="195"/>
    </row>
    <row r="70" spans="2:25" s="177" customFormat="1" ht="14.4" hidden="1" x14ac:dyDescent="0.3">
      <c r="B70" s="195"/>
      <c r="C70" s="400"/>
      <c r="D70" s="195"/>
      <c r="E70" s="195"/>
      <c r="F70" s="195"/>
      <c r="G70" s="195"/>
      <c r="H70" s="195"/>
      <c r="I70" s="195"/>
      <c r="J70" s="195"/>
      <c r="K70" s="195"/>
      <c r="L70" s="401"/>
      <c r="M70" s="195"/>
      <c r="N70" s="195"/>
      <c r="O70" s="195"/>
      <c r="P70" s="49"/>
      <c r="Q70" s="49"/>
      <c r="R70" s="49"/>
      <c r="S70" s="49"/>
      <c r="T70" s="49"/>
      <c r="U70" s="49"/>
      <c r="V70" s="49"/>
      <c r="W70" s="49"/>
      <c r="X70" s="49"/>
      <c r="Y70" s="195"/>
    </row>
    <row r="71" spans="2:25" s="177" customFormat="1" ht="14.4" hidden="1" x14ac:dyDescent="0.3">
      <c r="B71" s="195"/>
      <c r="C71" s="400"/>
      <c r="D71" s="195"/>
      <c r="E71" s="195"/>
      <c r="F71" s="195"/>
      <c r="G71" s="195"/>
      <c r="H71" s="195"/>
      <c r="I71" s="195"/>
      <c r="J71" s="195"/>
      <c r="K71" s="195"/>
      <c r="L71" s="401"/>
      <c r="M71" s="195"/>
      <c r="N71" s="195"/>
      <c r="O71" s="195"/>
      <c r="P71" s="49"/>
      <c r="Q71" s="49"/>
      <c r="R71" s="49"/>
      <c r="S71" s="49"/>
      <c r="T71" s="49"/>
      <c r="U71" s="49"/>
      <c r="V71" s="49"/>
      <c r="W71" s="49"/>
      <c r="X71" s="49"/>
      <c r="Y71" s="195"/>
    </row>
    <row r="72" spans="2:25" s="177" customFormat="1" ht="14.4" hidden="1" x14ac:dyDescent="0.3">
      <c r="B72" s="195"/>
      <c r="C72" s="400"/>
      <c r="D72" s="195"/>
      <c r="E72" s="195"/>
      <c r="F72" s="195"/>
      <c r="G72" s="195"/>
      <c r="H72" s="195"/>
      <c r="I72" s="195"/>
      <c r="J72" s="195"/>
      <c r="K72" s="195"/>
      <c r="L72" s="401"/>
      <c r="M72" s="195"/>
      <c r="N72" s="195"/>
      <c r="O72" s="195"/>
      <c r="P72" s="49"/>
      <c r="Q72" s="49"/>
      <c r="R72" s="49"/>
      <c r="S72" s="49"/>
      <c r="T72" s="49"/>
      <c r="U72" s="49"/>
      <c r="V72" s="49"/>
      <c r="W72" s="49"/>
      <c r="X72" s="49"/>
      <c r="Y72" s="195"/>
    </row>
    <row r="73" spans="2:25" s="177" customFormat="1" ht="15" thickBot="1" x14ac:dyDescent="0.35">
      <c r="B73" s="195"/>
      <c r="C73" s="409"/>
      <c r="D73" s="408"/>
      <c r="E73" s="408"/>
      <c r="F73" s="408"/>
      <c r="G73" s="408"/>
      <c r="H73" s="408"/>
      <c r="I73" s="408"/>
      <c r="J73" s="408"/>
      <c r="K73" s="408"/>
      <c r="L73" s="410"/>
      <c r="M73" s="195"/>
      <c r="N73" s="195"/>
      <c r="O73" s="195"/>
      <c r="P73" s="49"/>
      <c r="Q73" s="49"/>
      <c r="R73" s="49"/>
      <c r="S73" s="49"/>
      <c r="T73" s="49"/>
      <c r="U73" s="49"/>
      <c r="V73" s="49"/>
      <c r="W73" s="49"/>
      <c r="X73" s="49"/>
      <c r="Y73" s="195"/>
    </row>
    <row r="74" spans="2:25" s="177" customFormat="1" ht="14.4" x14ac:dyDescent="0.3">
      <c r="B74" s="49"/>
      <c r="C74" s="49"/>
      <c r="D74" s="49"/>
      <c r="E74" s="49"/>
      <c r="F74" s="49"/>
      <c r="G74" s="49"/>
      <c r="H74" s="49"/>
      <c r="I74" s="49"/>
      <c r="J74" s="49"/>
      <c r="K74" s="49"/>
      <c r="L74" s="49"/>
      <c r="M74" s="49"/>
      <c r="N74" s="49"/>
      <c r="O74" s="195"/>
      <c r="P74" s="49"/>
      <c r="Q74" s="49"/>
      <c r="R74" s="49"/>
      <c r="S74" s="49"/>
      <c r="T74" s="49"/>
      <c r="U74" s="49"/>
      <c r="V74" s="49"/>
      <c r="W74" s="49"/>
      <c r="X74" s="49"/>
      <c r="Y74" s="195"/>
    </row>
    <row r="75" spans="2:25" s="177" customFormat="1" ht="15" thickBot="1" x14ac:dyDescent="0.35">
      <c r="B75" s="195"/>
      <c r="C75" s="195"/>
      <c r="D75" s="195"/>
      <c r="E75" s="195"/>
      <c r="F75" s="195"/>
      <c r="G75" s="195"/>
      <c r="H75" s="195"/>
      <c r="I75" s="195"/>
      <c r="J75" s="195"/>
      <c r="K75" s="195"/>
      <c r="L75" s="195"/>
      <c r="M75" s="195"/>
      <c r="N75" s="195"/>
      <c r="O75" s="195"/>
      <c r="P75" s="49"/>
      <c r="Q75" s="49"/>
      <c r="R75" s="49"/>
      <c r="S75" s="49"/>
      <c r="T75" s="49"/>
      <c r="U75" s="49"/>
      <c r="V75" s="49"/>
      <c r="W75" s="49"/>
      <c r="X75" s="49"/>
      <c r="Y75" s="195"/>
    </row>
    <row r="76" spans="2:25" s="177" customFormat="1" ht="23.4" x14ac:dyDescent="0.45">
      <c r="B76" s="195"/>
      <c r="C76" s="188" t="s">
        <v>221</v>
      </c>
      <c r="D76" s="398"/>
      <c r="E76" s="398"/>
      <c r="F76" s="398"/>
      <c r="G76" s="398"/>
      <c r="H76" s="398"/>
      <c r="I76" s="398"/>
      <c r="J76" s="398"/>
      <c r="K76" s="398"/>
      <c r="L76" s="399"/>
      <c r="M76" s="195"/>
      <c r="N76" s="195"/>
      <c r="O76" s="195"/>
      <c r="P76" s="49"/>
      <c r="Q76" s="49"/>
      <c r="R76" s="49"/>
      <c r="S76" s="49"/>
      <c r="T76" s="49"/>
      <c r="U76" s="49"/>
      <c r="V76" s="49"/>
      <c r="W76" s="49"/>
      <c r="X76" s="49"/>
      <c r="Y76" s="195"/>
    </row>
    <row r="77" spans="2:25" s="177" customFormat="1" ht="14.4" x14ac:dyDescent="0.3">
      <c r="B77" s="195"/>
      <c r="C77" s="400"/>
      <c r="D77" s="195"/>
      <c r="E77" s="195"/>
      <c r="F77" s="195"/>
      <c r="G77" s="195"/>
      <c r="H77" s="195"/>
      <c r="I77" s="195"/>
      <c r="J77" s="195"/>
      <c r="K77" s="195"/>
      <c r="L77" s="401"/>
      <c r="M77" s="195"/>
      <c r="N77" s="195"/>
      <c r="O77" s="195"/>
      <c r="P77" s="49"/>
      <c r="Q77" s="49"/>
      <c r="R77" s="49"/>
      <c r="S77" s="49"/>
      <c r="T77" s="49"/>
      <c r="U77" s="49"/>
      <c r="V77" s="49"/>
      <c r="W77" s="49"/>
      <c r="X77" s="49"/>
      <c r="Y77" s="195"/>
    </row>
    <row r="78" spans="2:25" s="177" customFormat="1" ht="15" thickBot="1" x14ac:dyDescent="0.35">
      <c r="B78" s="195"/>
      <c r="C78" s="400"/>
      <c r="D78" s="195"/>
      <c r="E78" s="195"/>
      <c r="F78" s="195"/>
      <c r="G78" s="195"/>
      <c r="H78" s="195"/>
      <c r="I78" s="195"/>
      <c r="J78" s="195"/>
      <c r="K78" s="195"/>
      <c r="L78" s="401"/>
      <c r="M78" s="195"/>
      <c r="N78" s="195"/>
      <c r="O78" s="195"/>
      <c r="P78" s="49"/>
      <c r="Q78" s="49"/>
      <c r="R78" s="49"/>
      <c r="S78" s="49"/>
      <c r="T78" s="49"/>
      <c r="U78" s="49"/>
      <c r="V78" s="49"/>
      <c r="W78" s="49"/>
      <c r="X78" s="49"/>
      <c r="Y78" s="195"/>
    </row>
    <row r="79" spans="2:25" s="177" customFormat="1" ht="28.8" x14ac:dyDescent="0.3">
      <c r="B79" s="195"/>
      <c r="C79" s="400"/>
      <c r="D79" s="195"/>
      <c r="E79" s="195"/>
      <c r="F79" s="195"/>
      <c r="G79" s="216" t="s">
        <v>222</v>
      </c>
      <c r="H79" s="216" t="s">
        <v>223</v>
      </c>
      <c r="I79" s="216" t="s">
        <v>224</v>
      </c>
      <c r="J79" s="195"/>
      <c r="K79" s="195"/>
      <c r="L79" s="401"/>
      <c r="M79" s="195"/>
      <c r="N79" s="195"/>
      <c r="O79" s="195"/>
      <c r="P79" s="49"/>
      <c r="Q79" s="49"/>
      <c r="R79" s="49"/>
      <c r="S79" s="49"/>
      <c r="T79" s="49"/>
      <c r="U79" s="49"/>
      <c r="V79" s="49"/>
      <c r="W79" s="49"/>
      <c r="X79" s="49"/>
      <c r="Y79" s="195"/>
    </row>
    <row r="80" spans="2:25" s="177" customFormat="1" ht="14.4" x14ac:dyDescent="0.3">
      <c r="B80" s="195"/>
      <c r="C80" s="400"/>
      <c r="D80" s="195"/>
      <c r="E80" s="217" t="s">
        <v>221</v>
      </c>
      <c r="F80" s="49"/>
      <c r="G80" s="218">
        <f>SUM(J90+J93+K96)</f>
        <v>1284</v>
      </c>
      <c r="H80" s="218">
        <f>G80*7</f>
        <v>8988</v>
      </c>
      <c r="I80" s="218">
        <f>H80*52/12</f>
        <v>38948</v>
      </c>
      <c r="J80" s="195"/>
      <c r="K80" s="195"/>
      <c r="L80" s="401"/>
      <c r="M80" s="195"/>
      <c r="N80" s="195"/>
      <c r="O80" s="195"/>
      <c r="P80" s="49"/>
      <c r="Q80" s="49"/>
      <c r="R80" s="49"/>
      <c r="S80" s="49"/>
      <c r="T80" s="49"/>
      <c r="U80" s="49"/>
      <c r="V80" s="49"/>
      <c r="W80" s="49"/>
      <c r="X80" s="49"/>
      <c r="Y80" s="195"/>
    </row>
    <row r="81" spans="2:25" s="177" customFormat="1" ht="14.4" x14ac:dyDescent="0.3">
      <c r="B81" s="195"/>
      <c r="C81" s="400"/>
      <c r="D81" s="195"/>
      <c r="E81" s="219" t="s">
        <v>225</v>
      </c>
      <c r="F81" s="49"/>
      <c r="G81" s="220" t="str">
        <f>VLOOKUP($G$80,FabricMapping!$C$11:$F$21,4,1)</f>
        <v>F2</v>
      </c>
      <c r="H81" s="220" t="str">
        <f>VLOOKUP($H$80,FabricMapping!$D$11:$F$21,3,1)</f>
        <v>F2</v>
      </c>
      <c r="I81" s="220" t="str">
        <f>VLOOKUP($I$80,FabricMapping!$E$11:$F$21,2,1)</f>
        <v>F2</v>
      </c>
      <c r="J81" s="195"/>
      <c r="K81" s="195"/>
      <c r="L81" s="401"/>
      <c r="M81" s="195"/>
      <c r="N81" s="195"/>
      <c r="O81" s="195"/>
      <c r="P81" s="49"/>
      <c r="Q81" s="49"/>
      <c r="R81" s="49"/>
      <c r="S81" s="49"/>
      <c r="T81" s="49"/>
      <c r="U81" s="49"/>
      <c r="V81" s="49"/>
      <c r="W81" s="49"/>
      <c r="X81" s="49"/>
      <c r="Y81" s="195"/>
    </row>
    <row r="82" spans="2:25" s="177" customFormat="1" ht="14.4" x14ac:dyDescent="0.3">
      <c r="B82" s="195"/>
      <c r="C82" s="400"/>
      <c r="D82" s="195"/>
      <c r="E82" s="219" t="s">
        <v>226</v>
      </c>
      <c r="F82" s="49"/>
      <c r="G82" s="218">
        <f>VLOOKUP(G81,FabricMapping!$F$10:$J$21,3,0)</f>
        <v>2880</v>
      </c>
      <c r="H82" s="218">
        <f>VLOOKUP(H81,FabricMapping!$F$10:$J$21,4,0)</f>
        <v>20160</v>
      </c>
      <c r="I82" s="218">
        <f>VLOOKUP(I81,FabricMapping!$F$10:$J$21,5,0)</f>
        <v>87360</v>
      </c>
      <c r="J82" s="195"/>
      <c r="K82" s="195"/>
      <c r="L82" s="401"/>
      <c r="M82" s="195"/>
      <c r="N82" s="195"/>
      <c r="O82" s="195"/>
      <c r="P82" s="49"/>
      <c r="Q82" s="49"/>
      <c r="R82" s="49"/>
      <c r="S82" s="49"/>
      <c r="T82" s="49"/>
      <c r="U82" s="49"/>
      <c r="V82" s="49"/>
      <c r="W82" s="49"/>
      <c r="X82" s="49"/>
      <c r="Y82" s="195"/>
    </row>
    <row r="83" spans="2:25" s="177" customFormat="1" ht="18" hidden="1" x14ac:dyDescent="0.35">
      <c r="B83" s="221"/>
      <c r="C83" s="400"/>
      <c r="D83" s="195"/>
      <c r="E83" s="219" t="s">
        <v>227</v>
      </c>
      <c r="F83" s="49"/>
      <c r="G83" s="222">
        <f>G82*Cost_Setup!$F$7/60</f>
        <v>8.6399999999999988</v>
      </c>
      <c r="H83" s="222">
        <f>H82*Cost_Setup!$F$7/60</f>
        <v>60.48</v>
      </c>
      <c r="I83" s="222">
        <f>I82*Cost_Setup!$F$7/60</f>
        <v>262.08</v>
      </c>
      <c r="J83" s="195"/>
      <c r="K83" s="195"/>
      <c r="L83" s="401"/>
      <c r="M83" s="195"/>
      <c r="N83" s="195"/>
      <c r="O83" s="195"/>
      <c r="P83" s="49"/>
      <c r="Q83" s="49"/>
      <c r="R83" s="49"/>
      <c r="S83" s="49"/>
      <c r="T83" s="49"/>
      <c r="U83" s="49"/>
      <c r="V83" s="49"/>
      <c r="W83" s="49"/>
      <c r="X83" s="49"/>
      <c r="Y83" s="195"/>
    </row>
    <row r="84" spans="2:25" s="177" customFormat="1" ht="14.4" x14ac:dyDescent="0.3">
      <c r="B84" s="195"/>
      <c r="C84" s="400"/>
      <c r="D84" s="195"/>
      <c r="E84" s="219" t="s">
        <v>228</v>
      </c>
      <c r="F84" s="49"/>
      <c r="G84" s="223">
        <f>G80/G82</f>
        <v>0.44583333333333336</v>
      </c>
      <c r="H84" s="223">
        <f t="shared" ref="H84:I84" si="3">H80/H82</f>
        <v>0.44583333333333336</v>
      </c>
      <c r="I84" s="223">
        <f t="shared" si="3"/>
        <v>0.44583333333333336</v>
      </c>
      <c r="J84" s="195"/>
      <c r="K84" s="195"/>
      <c r="L84" s="401"/>
      <c r="M84" s="195"/>
      <c r="N84" s="195"/>
      <c r="O84" s="195"/>
      <c r="P84" s="49"/>
      <c r="Q84" s="49"/>
      <c r="R84" s="49"/>
      <c r="S84" s="49"/>
      <c r="T84" s="49"/>
      <c r="U84" s="49"/>
      <c r="V84" s="49"/>
      <c r="W84" s="49"/>
      <c r="X84" s="49"/>
      <c r="Y84" s="195"/>
    </row>
    <row r="85" spans="2:25" s="177" customFormat="1" ht="14.4" x14ac:dyDescent="0.3">
      <c r="B85" s="195"/>
      <c r="C85" s="400"/>
      <c r="D85" s="195"/>
      <c r="E85" s="195"/>
      <c r="F85" s="195"/>
      <c r="G85" s="195"/>
      <c r="H85" s="195"/>
      <c r="I85" s="195"/>
      <c r="J85" s="195"/>
      <c r="K85" s="195"/>
      <c r="L85" s="401"/>
      <c r="M85" s="195"/>
      <c r="N85" s="195"/>
      <c r="O85" s="195"/>
      <c r="P85" s="49"/>
      <c r="Q85" s="49"/>
      <c r="R85" s="49"/>
      <c r="S85" s="49"/>
      <c r="T85" s="49"/>
      <c r="U85" s="49"/>
      <c r="V85" s="49"/>
      <c r="W85" s="49"/>
      <c r="X85" s="49"/>
      <c r="Y85" s="195"/>
    </row>
    <row r="86" spans="2:25" s="177" customFormat="1" ht="14.4" x14ac:dyDescent="0.3">
      <c r="B86" s="195"/>
      <c r="C86" s="400"/>
      <c r="D86" s="195"/>
      <c r="E86" s="195"/>
      <c r="F86" s="195"/>
      <c r="G86" s="195"/>
      <c r="H86" s="195"/>
      <c r="I86" s="195"/>
      <c r="J86" s="195"/>
      <c r="K86" s="195"/>
      <c r="L86" s="401"/>
      <c r="M86" s="195"/>
      <c r="N86" s="195"/>
      <c r="O86" s="195"/>
      <c r="P86" s="49"/>
      <c r="Q86" s="49"/>
      <c r="R86" s="49"/>
      <c r="S86" s="49"/>
      <c r="T86" s="49"/>
      <c r="U86" s="49"/>
      <c r="V86" s="49"/>
      <c r="W86" s="49"/>
      <c r="X86" s="49"/>
      <c r="Y86" s="195"/>
    </row>
    <row r="87" spans="2:25" s="177" customFormat="1" ht="15" thickBot="1" x14ac:dyDescent="0.35">
      <c r="B87" s="195"/>
      <c r="C87" s="400"/>
      <c r="D87" s="195"/>
      <c r="E87" s="195"/>
      <c r="F87" s="195"/>
      <c r="G87" s="195"/>
      <c r="H87" s="195"/>
      <c r="I87" s="195"/>
      <c r="J87" s="195"/>
      <c r="K87" s="195"/>
      <c r="L87" s="401"/>
      <c r="M87" s="195"/>
      <c r="N87" s="195"/>
      <c r="O87" s="195"/>
      <c r="P87" s="49"/>
      <c r="Q87" s="49"/>
      <c r="R87" s="49"/>
      <c r="S87" s="49"/>
      <c r="T87" s="49"/>
      <c r="U87" s="49"/>
      <c r="V87" s="49"/>
      <c r="W87" s="49"/>
      <c r="X87" s="49"/>
      <c r="Y87" s="195"/>
    </row>
    <row r="88" spans="2:25" s="177" customFormat="1" ht="14.4" x14ac:dyDescent="0.3">
      <c r="B88" s="195"/>
      <c r="C88" s="400"/>
      <c r="D88" s="195"/>
      <c r="E88" s="561" t="s">
        <v>229</v>
      </c>
      <c r="F88" s="195"/>
      <c r="G88" s="563" t="s">
        <v>230</v>
      </c>
      <c r="H88" s="564"/>
      <c r="I88" s="564"/>
      <c r="J88" s="564"/>
      <c r="K88" s="565"/>
      <c r="L88" s="401"/>
      <c r="M88" s="195"/>
      <c r="N88" s="195"/>
      <c r="O88" s="195"/>
      <c r="P88" s="49"/>
      <c r="Q88" s="49"/>
      <c r="R88" s="49"/>
      <c r="S88" s="49"/>
      <c r="T88" s="49"/>
      <c r="U88" s="49"/>
      <c r="V88" s="49"/>
      <c r="W88" s="49"/>
      <c r="X88" s="49"/>
      <c r="Y88" s="195"/>
    </row>
    <row r="89" spans="2:25" s="177" customFormat="1" ht="14.4" x14ac:dyDescent="0.3">
      <c r="B89" s="195"/>
      <c r="C89" s="400"/>
      <c r="D89" s="195"/>
      <c r="E89" s="561"/>
      <c r="F89" s="195"/>
      <c r="G89" s="202" t="s">
        <v>231</v>
      </c>
      <c r="H89" s="567" t="s">
        <v>232</v>
      </c>
      <c r="I89" s="567"/>
      <c r="J89" s="567" t="s">
        <v>233</v>
      </c>
      <c r="K89" s="568"/>
      <c r="L89" s="401"/>
      <c r="M89" s="195"/>
      <c r="N89" s="195"/>
      <c r="O89" s="195"/>
      <c r="P89" s="49"/>
      <c r="Q89" s="49"/>
      <c r="R89" s="49"/>
      <c r="S89" s="49"/>
      <c r="T89" s="49"/>
      <c r="U89" s="49"/>
      <c r="V89" s="49"/>
      <c r="W89" s="49"/>
      <c r="X89" s="49"/>
      <c r="Y89" s="195"/>
    </row>
    <row r="90" spans="2:25" s="177" customFormat="1" ht="15" thickBot="1" x14ac:dyDescent="0.35">
      <c r="B90" s="195"/>
      <c r="C90" s="400"/>
      <c r="D90" s="195"/>
      <c r="E90" s="561"/>
      <c r="F90" s="195"/>
      <c r="G90" s="225">
        <f>IFERROR(IF(OR(RIGHT(G8,1)="%",ISNUMBER(G8)),ROUNDUP((($H$46*1024)*$G$8)/ROUNDUP($G$6*110%,0),0),ROUNDUP(((LEFT(G8,LEN(G8)-2)*1024))/ROUNDUP($G$6*110%,0),0)),0)</f>
        <v>10</v>
      </c>
      <c r="H90" s="570">
        <f>IFERROR(ROUNDUP(((($G$90/((1000/8)*$L$14))+10)*(4*FabricMapping!$AN$26))/60,2),0)</f>
        <v>1.01</v>
      </c>
      <c r="I90" s="570"/>
      <c r="J90" s="570">
        <f>ROUNDUP($H$90*($G$6*110%),0)*$G$5</f>
        <v>1111</v>
      </c>
      <c r="K90" s="571"/>
      <c r="L90" s="401"/>
      <c r="M90" s="195"/>
      <c r="N90" s="228"/>
      <c r="O90" s="195"/>
      <c r="P90" s="49"/>
      <c r="Q90" s="49"/>
      <c r="R90" s="49"/>
      <c r="S90" s="49"/>
      <c r="T90" s="49"/>
      <c r="U90" s="49"/>
      <c r="V90" s="49"/>
      <c r="W90" s="49"/>
      <c r="X90" s="49"/>
      <c r="Y90" s="195"/>
    </row>
    <row r="91" spans="2:25" s="177" customFormat="1" ht="15" thickBot="1" x14ac:dyDescent="0.35">
      <c r="B91" s="195"/>
      <c r="C91" s="400"/>
      <c r="D91" s="195"/>
      <c r="E91" s="561"/>
      <c r="F91" s="195"/>
      <c r="G91" s="195"/>
      <c r="H91" s="195"/>
      <c r="I91" s="195"/>
      <c r="J91" s="195"/>
      <c r="K91" s="195"/>
      <c r="L91" s="401"/>
      <c r="M91" s="195"/>
      <c r="N91" s="195"/>
      <c r="O91" s="195"/>
      <c r="P91" s="49"/>
      <c r="Q91" s="49"/>
      <c r="R91" s="49"/>
      <c r="S91" s="49"/>
      <c r="T91" s="49"/>
      <c r="U91" s="49"/>
      <c r="V91" s="49"/>
      <c r="W91" s="49"/>
      <c r="X91" s="49"/>
      <c r="Y91" s="195"/>
    </row>
    <row r="92" spans="2:25" s="177" customFormat="1" ht="14.4" x14ac:dyDescent="0.3">
      <c r="B92" s="195"/>
      <c r="C92" s="400"/>
      <c r="D92" s="195"/>
      <c r="E92" s="561"/>
      <c r="F92" s="195"/>
      <c r="G92" s="229" t="s">
        <v>234</v>
      </c>
      <c r="H92" s="577" t="s">
        <v>232</v>
      </c>
      <c r="I92" s="577" t="s">
        <v>235</v>
      </c>
      <c r="J92" s="577" t="s">
        <v>235</v>
      </c>
      <c r="K92" s="578"/>
      <c r="L92" s="401"/>
      <c r="M92" s="195"/>
      <c r="N92" s="195"/>
      <c r="O92" s="195"/>
      <c r="P92" s="49"/>
      <c r="Q92" s="49"/>
      <c r="R92" s="49"/>
      <c r="S92" s="49"/>
      <c r="T92" s="49"/>
      <c r="U92" s="49"/>
      <c r="V92" s="49"/>
      <c r="W92" s="49"/>
      <c r="X92" s="49"/>
      <c r="Y92" s="195"/>
    </row>
    <row r="93" spans="2:25" s="177" customFormat="1" ht="18.75" customHeight="1" thickBot="1" x14ac:dyDescent="0.35">
      <c r="B93" s="195"/>
      <c r="C93" s="400"/>
      <c r="D93" s="195"/>
      <c r="E93" s="561"/>
      <c r="F93" s="195"/>
      <c r="G93" s="225">
        <v>25</v>
      </c>
      <c r="H93" s="570">
        <f>(G93)*(0.336/60)</f>
        <v>0.13999999999999999</v>
      </c>
      <c r="I93" s="570"/>
      <c r="J93" s="570">
        <f>H93*$G$6*$G$5</f>
        <v>139.99999999999997</v>
      </c>
      <c r="K93" s="571"/>
      <c r="L93" s="401"/>
      <c r="M93" s="195"/>
      <c r="N93" s="228"/>
      <c r="O93" s="195"/>
      <c r="P93" s="49"/>
      <c r="Q93" s="49"/>
      <c r="R93" s="49"/>
      <c r="S93" s="49"/>
      <c r="T93" s="49"/>
      <c r="U93" s="49"/>
      <c r="V93" s="49"/>
      <c r="W93" s="49"/>
      <c r="X93" s="49"/>
      <c r="Y93" s="195"/>
    </row>
    <row r="94" spans="2:25" s="177" customFormat="1" ht="14.4" x14ac:dyDescent="0.3">
      <c r="B94" s="195"/>
      <c r="C94" s="400"/>
      <c r="D94" s="195"/>
      <c r="E94" s="561"/>
      <c r="F94" s="195"/>
      <c r="G94" s="195"/>
      <c r="H94" s="195"/>
      <c r="I94" s="195"/>
      <c r="J94" s="195"/>
      <c r="K94" s="195"/>
      <c r="L94" s="401"/>
      <c r="M94" s="195"/>
      <c r="N94" s="195"/>
      <c r="O94" s="195"/>
      <c r="P94" s="49"/>
      <c r="Q94" s="49"/>
      <c r="R94" s="49"/>
      <c r="S94" s="49"/>
      <c r="T94" s="49"/>
      <c r="U94" s="49"/>
      <c r="V94" s="49"/>
      <c r="W94" s="49"/>
      <c r="X94" s="49"/>
      <c r="Y94" s="195"/>
    </row>
    <row r="95" spans="2:25" s="177" customFormat="1" ht="14.4" x14ac:dyDescent="0.3">
      <c r="B95" s="195"/>
      <c r="C95" s="400"/>
      <c r="D95" s="195"/>
      <c r="E95" s="561"/>
      <c r="F95" s="195"/>
      <c r="G95" s="481" t="s">
        <v>205</v>
      </c>
      <c r="H95" s="482" t="s">
        <v>236</v>
      </c>
      <c r="I95" s="482" t="s">
        <v>237</v>
      </c>
      <c r="J95" s="482" t="s">
        <v>238</v>
      </c>
      <c r="K95" s="483" t="s">
        <v>209</v>
      </c>
      <c r="L95" s="401"/>
      <c r="M95" s="195"/>
      <c r="N95" s="195"/>
      <c r="O95" s="195"/>
      <c r="P95" s="49"/>
      <c r="Q95" s="49"/>
      <c r="R95" s="49"/>
      <c r="S95" s="49"/>
      <c r="T95" s="49"/>
      <c r="U95" s="49"/>
      <c r="V95" s="49"/>
      <c r="W95" s="49"/>
      <c r="X95" s="49"/>
      <c r="Y95" s="195"/>
    </row>
    <row r="96" spans="2:25" s="177" customFormat="1" ht="14.4" x14ac:dyDescent="0.3">
      <c r="B96" s="195"/>
      <c r="C96" s="400"/>
      <c r="D96" s="195"/>
      <c r="E96" s="561"/>
      <c r="F96" s="195"/>
      <c r="G96" s="484">
        <f>ROUNDUP(($G$6*$G$5)*FabricMapping!$AR$61,0)</f>
        <v>1</v>
      </c>
      <c r="H96" s="485">
        <f>ROUNDUP((($G$90/4)*$G$6*$G$5)*FabricMapping!$AR$62,0)</f>
        <v>7</v>
      </c>
      <c r="I96" s="485">
        <f>ROUNDUP(($G$6*$G$5)*FabricMapping!$AR$63,0)</f>
        <v>3</v>
      </c>
      <c r="J96" s="485">
        <f>ROUNDUP(($G$6*$G$5)*FabricMapping!$AR$64,0)</f>
        <v>22</v>
      </c>
      <c r="K96" s="486">
        <f>SUM(G96:J96)</f>
        <v>33</v>
      </c>
      <c r="L96" s="401"/>
      <c r="M96" s="195"/>
      <c r="N96" s="195"/>
      <c r="O96" s="195"/>
      <c r="P96" s="49"/>
      <c r="Q96" s="49"/>
      <c r="R96" s="49"/>
      <c r="S96" s="49"/>
      <c r="T96" s="49"/>
      <c r="U96" s="49"/>
      <c r="V96" s="49"/>
      <c r="W96" s="49"/>
      <c r="X96" s="49"/>
      <c r="Y96" s="195"/>
    </row>
    <row r="97" spans="2:24" s="177" customFormat="1" ht="15" thickBot="1" x14ac:dyDescent="0.35">
      <c r="B97" s="195"/>
      <c r="C97" s="409"/>
      <c r="D97" s="408"/>
      <c r="E97" s="408"/>
      <c r="F97" s="408"/>
      <c r="G97" s="408"/>
      <c r="H97" s="408"/>
      <c r="I97" s="408"/>
      <c r="J97" s="408"/>
      <c r="K97" s="408"/>
      <c r="L97" s="410"/>
      <c r="M97" s="195"/>
      <c r="N97" s="195"/>
      <c r="O97" s="195"/>
      <c r="P97" s="49"/>
      <c r="Q97" s="49"/>
      <c r="R97" s="49"/>
      <c r="S97" s="49"/>
      <c r="T97" s="49"/>
      <c r="U97" s="49"/>
      <c r="V97" s="49"/>
      <c r="W97" s="49"/>
      <c r="X97" s="49"/>
    </row>
    <row r="98" spans="2:24" s="177" customFormat="1" ht="14.4" x14ac:dyDescent="0.3">
      <c r="B98" s="195"/>
      <c r="C98" s="195"/>
      <c r="D98" s="195"/>
      <c r="E98" s="195"/>
      <c r="F98" s="195"/>
      <c r="G98" s="195"/>
      <c r="H98" s="195"/>
      <c r="I98" s="195"/>
      <c r="J98" s="195"/>
      <c r="K98" s="195"/>
      <c r="L98" s="195"/>
      <c r="M98" s="195"/>
      <c r="N98" s="195"/>
      <c r="O98" s="195"/>
      <c r="P98" s="49"/>
      <c r="Q98" s="49"/>
      <c r="R98" s="49"/>
      <c r="S98" s="49"/>
      <c r="T98" s="49"/>
      <c r="U98" s="49"/>
      <c r="V98" s="49"/>
      <c r="W98" s="49"/>
      <c r="X98" s="49"/>
    </row>
    <row r="99" spans="2:24" s="177" customFormat="1" ht="14.4" x14ac:dyDescent="0.3">
      <c r="B99" s="195"/>
      <c r="C99" s="195"/>
      <c r="D99" s="195"/>
      <c r="E99" s="195"/>
      <c r="F99" s="195"/>
      <c r="G99" s="195"/>
      <c r="H99" s="195"/>
      <c r="I99" s="195"/>
      <c r="J99" s="195"/>
      <c r="K99" s="195"/>
      <c r="L99" s="195"/>
      <c r="M99" s="195"/>
      <c r="N99" s="195"/>
      <c r="O99" s="195"/>
      <c r="P99" s="49"/>
      <c r="Q99" s="49"/>
      <c r="R99" s="49"/>
      <c r="S99" s="49"/>
      <c r="T99" s="49"/>
      <c r="U99" s="49"/>
      <c r="V99" s="49"/>
      <c r="W99" s="49"/>
      <c r="X99" s="49"/>
    </row>
    <row r="100" spans="2:24" s="177" customFormat="1" ht="15" thickBot="1" x14ac:dyDescent="0.35">
      <c r="B100" s="195"/>
      <c r="C100" s="195"/>
      <c r="D100" s="195"/>
      <c r="E100" s="195"/>
      <c r="F100" s="195"/>
      <c r="G100" s="195"/>
      <c r="H100" s="195"/>
      <c r="I100" s="195"/>
      <c r="J100" s="195"/>
      <c r="K100" s="195"/>
      <c r="L100" s="195"/>
      <c r="M100" s="195"/>
      <c r="N100" s="195"/>
      <c r="O100" s="195"/>
      <c r="P100" s="49"/>
      <c r="Q100" s="49"/>
      <c r="R100" s="49"/>
      <c r="S100" s="49"/>
      <c r="T100" s="49"/>
      <c r="U100" s="49"/>
      <c r="V100" s="49"/>
      <c r="W100" s="49"/>
      <c r="X100" s="49"/>
    </row>
    <row r="101" spans="2:24" s="177" customFormat="1" ht="23.4" x14ac:dyDescent="0.45">
      <c r="B101" s="195"/>
      <c r="C101" s="188" t="s">
        <v>239</v>
      </c>
      <c r="D101" s="398"/>
      <c r="E101" s="398"/>
      <c r="F101" s="398"/>
      <c r="G101" s="398"/>
      <c r="H101" s="398"/>
      <c r="I101" s="398"/>
      <c r="J101" s="398"/>
      <c r="K101" s="398"/>
      <c r="L101" s="399"/>
      <c r="M101" s="195"/>
      <c r="N101" s="195"/>
      <c r="O101" s="195"/>
      <c r="P101" s="49"/>
      <c r="Q101" s="49"/>
      <c r="R101" s="49"/>
      <c r="S101" s="49"/>
      <c r="T101" s="49"/>
      <c r="U101" s="49"/>
      <c r="V101" s="49"/>
      <c r="W101" s="49"/>
      <c r="X101" s="49"/>
    </row>
    <row r="102" spans="2:24" s="177" customFormat="1" ht="14.4" x14ac:dyDescent="0.3">
      <c r="B102" s="195"/>
      <c r="C102" s="400"/>
      <c r="D102" s="195"/>
      <c r="E102" s="195"/>
      <c r="F102" s="195"/>
      <c r="G102" s="195"/>
      <c r="H102" s="195"/>
      <c r="I102" s="195"/>
      <c r="J102" s="195"/>
      <c r="K102" s="195"/>
      <c r="L102" s="401"/>
      <c r="M102" s="195"/>
      <c r="N102" s="195"/>
      <c r="O102" s="195"/>
      <c r="P102" s="49"/>
      <c r="Q102" s="49"/>
      <c r="R102" s="49"/>
      <c r="S102" s="49"/>
      <c r="T102" s="49"/>
      <c r="U102" s="49"/>
      <c r="V102" s="49"/>
      <c r="W102" s="49"/>
      <c r="X102" s="49"/>
    </row>
    <row r="103" spans="2:24" s="177" customFormat="1" ht="15" thickBot="1" x14ac:dyDescent="0.35">
      <c r="B103" s="195"/>
      <c r="C103" s="400"/>
      <c r="D103" s="195"/>
      <c r="E103" s="195"/>
      <c r="F103" s="195"/>
      <c r="G103" s="195"/>
      <c r="H103" s="195"/>
      <c r="I103" s="195"/>
      <c r="J103" s="195"/>
      <c r="K103" s="195"/>
      <c r="L103" s="401"/>
      <c r="M103" s="195"/>
      <c r="N103" s="195"/>
      <c r="O103" s="195"/>
      <c r="P103" s="49"/>
      <c r="Q103" s="49"/>
      <c r="R103" s="49"/>
      <c r="S103" s="49"/>
      <c r="T103" s="49"/>
      <c r="U103" s="49"/>
      <c r="V103" s="49"/>
      <c r="W103" s="49"/>
      <c r="X103" s="49"/>
    </row>
    <row r="104" spans="2:24" s="177" customFormat="1" ht="28.8" x14ac:dyDescent="0.3">
      <c r="B104" s="195"/>
      <c r="C104" s="400"/>
      <c r="D104" s="195"/>
      <c r="E104" s="195"/>
      <c r="F104" s="195"/>
      <c r="G104" s="216" t="s">
        <v>222</v>
      </c>
      <c r="H104" s="216" t="s">
        <v>223</v>
      </c>
      <c r="I104" s="216" t="s">
        <v>224</v>
      </c>
      <c r="J104" s="195"/>
      <c r="K104" s="195"/>
      <c r="L104" s="401"/>
      <c r="M104" s="195"/>
      <c r="N104" s="195"/>
      <c r="O104" s="195"/>
      <c r="P104" s="49"/>
      <c r="Q104" s="49"/>
      <c r="R104" s="49"/>
      <c r="S104" s="49"/>
      <c r="T104" s="49"/>
      <c r="U104" s="49"/>
      <c r="V104" s="49"/>
      <c r="W104" s="49"/>
      <c r="X104" s="49"/>
    </row>
    <row r="105" spans="2:24" s="177" customFormat="1" ht="14.4" x14ac:dyDescent="0.3">
      <c r="B105" s="195"/>
      <c r="C105" s="400"/>
      <c r="D105" s="195"/>
      <c r="E105" s="217" t="s">
        <v>239</v>
      </c>
      <c r="F105" s="49"/>
      <c r="G105" s="218">
        <f>J119+K123</f>
        <v>6700</v>
      </c>
      <c r="H105" s="218">
        <f>G105*7</f>
        <v>46900</v>
      </c>
      <c r="I105" s="218">
        <f>H105*52/12</f>
        <v>203233.33333333334</v>
      </c>
      <c r="J105" s="195"/>
      <c r="K105" s="411"/>
      <c r="L105" s="401"/>
      <c r="M105" s="195"/>
      <c r="N105" s="195"/>
      <c r="O105" s="195"/>
      <c r="P105" s="49"/>
      <c r="Q105" s="49"/>
      <c r="R105" s="49"/>
      <c r="S105" s="49"/>
      <c r="T105" s="49"/>
      <c r="U105" s="49"/>
      <c r="V105" s="49"/>
      <c r="W105" s="49"/>
      <c r="X105" s="49"/>
    </row>
    <row r="106" spans="2:24" s="177" customFormat="1" ht="14.4" x14ac:dyDescent="0.3">
      <c r="B106" s="195"/>
      <c r="C106" s="400"/>
      <c r="D106" s="195"/>
      <c r="E106" s="219" t="s">
        <v>225</v>
      </c>
      <c r="F106" s="49"/>
      <c r="G106" s="220" t="str">
        <f>VLOOKUP(G105,FabricMapping!$C$11:$F$21,4,1)</f>
        <v>F8</v>
      </c>
      <c r="H106" s="220" t="str">
        <f>VLOOKUP(H105,FabricMapping!$D$11:$F$21,3,1)</f>
        <v>F8</v>
      </c>
      <c r="I106" s="220" t="str">
        <f>VLOOKUP(I105,FabricMapping!$E$11:$F$21,2,1)</f>
        <v>F8</v>
      </c>
      <c r="J106" s="195"/>
      <c r="K106" s="195"/>
      <c r="L106" s="401"/>
      <c r="M106" s="195"/>
      <c r="N106" s="195"/>
      <c r="O106" s="195"/>
      <c r="P106" s="49"/>
      <c r="Q106" s="49"/>
      <c r="R106" s="49"/>
      <c r="S106" s="49"/>
      <c r="T106" s="49"/>
      <c r="U106" s="49"/>
      <c r="V106" s="49"/>
      <c r="W106" s="49"/>
      <c r="X106" s="49"/>
    </row>
    <row r="107" spans="2:24" s="177" customFormat="1" ht="14.4" x14ac:dyDescent="0.3">
      <c r="B107" s="195"/>
      <c r="C107" s="400"/>
      <c r="D107" s="195"/>
      <c r="E107" s="219" t="s">
        <v>226</v>
      </c>
      <c r="F107" s="49"/>
      <c r="G107" s="218">
        <f>VLOOKUP(G106,FabricMapping!$F$10:$J$21,3,0)</f>
        <v>11520</v>
      </c>
      <c r="H107" s="218">
        <f>VLOOKUP(H106,FabricMapping!$F$10:$J$21,4,0)</f>
        <v>80640</v>
      </c>
      <c r="I107" s="218">
        <f>VLOOKUP(I106,FabricMapping!$F$10:$J$21,5,0)</f>
        <v>349440</v>
      </c>
      <c r="J107" s="195"/>
      <c r="K107" s="195"/>
      <c r="L107" s="401"/>
      <c r="M107" s="195"/>
      <c r="N107" s="195"/>
      <c r="O107" s="195"/>
      <c r="P107" s="49"/>
      <c r="Q107" s="49"/>
      <c r="R107" s="49"/>
      <c r="S107" s="49"/>
      <c r="T107" s="49"/>
      <c r="U107" s="49"/>
      <c r="V107" s="49"/>
      <c r="W107" s="49"/>
      <c r="X107" s="49"/>
    </row>
    <row r="108" spans="2:24" s="177" customFormat="1" ht="18" hidden="1" x14ac:dyDescent="0.35">
      <c r="B108" s="221"/>
      <c r="C108" s="400"/>
      <c r="D108" s="195"/>
      <c r="E108" s="219" t="s">
        <v>227</v>
      </c>
      <c r="F108" s="49"/>
      <c r="G108" s="222">
        <f>G107*Cost_Setup!$F$7/60</f>
        <v>34.559999999999995</v>
      </c>
      <c r="H108" s="222">
        <f>H107*Cost_Setup!$F$7/60</f>
        <v>241.92</v>
      </c>
      <c r="I108" s="222">
        <f>I107*Cost_Setup!$F$7/60</f>
        <v>1048.32</v>
      </c>
      <c r="J108" s="195"/>
      <c r="K108" s="195"/>
      <c r="L108" s="401"/>
      <c r="M108" s="195"/>
      <c r="N108" s="195"/>
      <c r="O108" s="195"/>
      <c r="P108" s="49"/>
      <c r="Q108" s="49"/>
      <c r="R108" s="49"/>
      <c r="S108" s="49"/>
      <c r="T108" s="49"/>
      <c r="U108" s="49"/>
      <c r="V108" s="49"/>
      <c r="W108" s="49"/>
      <c r="X108" s="49"/>
    </row>
    <row r="109" spans="2:24" s="177" customFormat="1" ht="14.4" x14ac:dyDescent="0.3">
      <c r="B109" s="195"/>
      <c r="C109" s="400"/>
      <c r="D109" s="195"/>
      <c r="E109" s="219" t="s">
        <v>228</v>
      </c>
      <c r="F109" s="49"/>
      <c r="G109" s="223">
        <f>G105/G107</f>
        <v>0.58159722222222221</v>
      </c>
      <c r="H109" s="223">
        <f t="shared" ref="H109:I109" si="4">H105/H107</f>
        <v>0.58159722222222221</v>
      </c>
      <c r="I109" s="223">
        <f t="shared" si="4"/>
        <v>0.58159722222222221</v>
      </c>
      <c r="J109" s="195"/>
      <c r="K109" s="195"/>
      <c r="L109" s="401"/>
      <c r="M109" s="195"/>
      <c r="N109" s="195"/>
      <c r="O109" s="195"/>
      <c r="P109" s="49"/>
      <c r="Q109" s="49"/>
      <c r="R109" s="49"/>
      <c r="S109" s="49"/>
      <c r="T109" s="49"/>
      <c r="U109" s="49"/>
      <c r="V109" s="49"/>
      <c r="W109" s="49"/>
      <c r="X109" s="49"/>
    </row>
    <row r="110" spans="2:24" s="177" customFormat="1" ht="14.4" x14ac:dyDescent="0.3">
      <c r="B110" s="195"/>
      <c r="C110" s="400"/>
      <c r="D110" s="195"/>
      <c r="E110" s="195"/>
      <c r="F110" s="49"/>
      <c r="G110" s="195"/>
      <c r="H110" s="49"/>
      <c r="I110" s="195"/>
      <c r="J110" s="195"/>
      <c r="K110" s="195"/>
      <c r="L110" s="401"/>
      <c r="M110" s="195"/>
      <c r="N110" s="195"/>
      <c r="O110" s="49"/>
      <c r="P110" s="49"/>
      <c r="Q110" s="49"/>
      <c r="R110" s="49"/>
      <c r="S110" s="49"/>
      <c r="T110" s="49"/>
      <c r="U110" s="49"/>
      <c r="V110" s="49"/>
      <c r="W110" s="49"/>
      <c r="X110" s="49"/>
    </row>
    <row r="111" spans="2:24" s="177" customFormat="1" ht="15" thickBot="1" x14ac:dyDescent="0.35">
      <c r="B111" s="195"/>
      <c r="C111" s="400"/>
      <c r="D111" s="195"/>
      <c r="E111" s="195"/>
      <c r="F111" s="195"/>
      <c r="G111" s="195"/>
      <c r="H111" s="195"/>
      <c r="I111" s="195"/>
      <c r="J111" s="195"/>
      <c r="K111" s="195"/>
      <c r="L111" s="401"/>
      <c r="M111" s="195"/>
      <c r="N111" s="195"/>
      <c r="O111" s="49"/>
      <c r="P111" s="49"/>
      <c r="Q111" s="49"/>
      <c r="R111" s="49"/>
      <c r="S111" s="49"/>
      <c r="T111" s="49"/>
      <c r="U111" s="49"/>
      <c r="V111" s="49"/>
      <c r="W111" s="49"/>
      <c r="X111" s="49"/>
    </row>
    <row r="112" spans="2:24" s="177" customFormat="1" ht="14.4" x14ac:dyDescent="0.3">
      <c r="B112" s="195"/>
      <c r="C112" s="400"/>
      <c r="D112" s="195"/>
      <c r="E112" s="561" t="s">
        <v>11</v>
      </c>
      <c r="F112" s="195"/>
      <c r="G112" s="563" t="s">
        <v>240</v>
      </c>
      <c r="H112" s="564"/>
      <c r="I112" s="564"/>
      <c r="J112" s="564"/>
      <c r="K112" s="565"/>
      <c r="L112" s="401"/>
      <c r="M112" s="195"/>
      <c r="N112" s="49"/>
      <c r="O112" s="49"/>
      <c r="P112" s="49"/>
      <c r="Q112" s="49"/>
      <c r="R112" s="49"/>
      <c r="S112" s="49"/>
      <c r="T112" s="49"/>
      <c r="U112" s="49"/>
      <c r="V112" s="49"/>
      <c r="W112" s="49"/>
      <c r="X112" s="49"/>
    </row>
    <row r="113" spans="2:24" s="177" customFormat="1" ht="14.4" x14ac:dyDescent="0.3">
      <c r="B113" s="195"/>
      <c r="C113" s="400"/>
      <c r="D113" s="195"/>
      <c r="E113" s="561"/>
      <c r="F113" s="195"/>
      <c r="G113" s="230" t="s">
        <v>55</v>
      </c>
      <c r="H113" s="231" t="s">
        <v>241</v>
      </c>
      <c r="I113" s="231" t="s">
        <v>242</v>
      </c>
      <c r="J113" s="231" t="s">
        <v>243</v>
      </c>
      <c r="K113" s="232" t="s">
        <v>244</v>
      </c>
      <c r="L113" s="401"/>
      <c r="M113" s="195"/>
      <c r="N113" s="49"/>
      <c r="O113" s="195"/>
      <c r="P113" s="49"/>
      <c r="Q113" s="49"/>
      <c r="R113" s="49"/>
      <c r="S113" s="49"/>
      <c r="T113" s="49"/>
      <c r="U113" s="49"/>
      <c r="V113" s="49"/>
      <c r="W113" s="49"/>
      <c r="X113" s="49"/>
    </row>
    <row r="114" spans="2:24" s="177" customFormat="1" ht="15" thickBot="1" x14ac:dyDescent="0.35">
      <c r="B114" s="195"/>
      <c r="C114" s="400"/>
      <c r="D114" s="195"/>
      <c r="E114" s="561"/>
      <c r="F114" s="195"/>
      <c r="G114" s="233" t="s">
        <v>56</v>
      </c>
      <c r="H114" s="226">
        <f>IFERROR(VLOOKUP($G$114,FabricMapping!$F$39:$J$43,4,FALSE),0)</f>
        <v>4</v>
      </c>
      <c r="I114" s="226">
        <f>IFERROR(VLOOKUP($G$114,FabricMapping!$F$39:$J$43,5,FALSE),0)</f>
        <v>60</v>
      </c>
      <c r="J114" s="226">
        <f>IFERROR((FabricMapping!$U$31*2)/$H$114,0)</f>
        <v>32</v>
      </c>
      <c r="K114" s="227">
        <f>J114*H114</f>
        <v>128</v>
      </c>
      <c r="L114" s="401"/>
      <c r="M114" s="195"/>
      <c r="N114" s="228"/>
      <c r="O114" s="195"/>
      <c r="P114" s="49"/>
      <c r="Q114" s="49"/>
      <c r="R114" s="49"/>
      <c r="S114" s="49"/>
      <c r="T114" s="49"/>
      <c r="U114" s="49"/>
      <c r="V114" s="49"/>
      <c r="W114" s="49"/>
      <c r="X114" s="49"/>
    </row>
    <row r="115" spans="2:24" s="177" customFormat="1" ht="14.4" x14ac:dyDescent="0.3">
      <c r="B115" s="195"/>
      <c r="C115" s="400"/>
      <c r="D115" s="195"/>
      <c r="E115" s="561"/>
      <c r="F115" s="195"/>
      <c r="G115" s="195"/>
      <c r="H115" s="195"/>
      <c r="I115" s="195"/>
      <c r="J115" s="195"/>
      <c r="K115" s="195"/>
      <c r="L115" s="401"/>
      <c r="M115" s="195"/>
      <c r="N115" s="49"/>
      <c r="O115" s="195"/>
      <c r="P115" s="49"/>
      <c r="Q115" s="49"/>
      <c r="R115" s="49"/>
      <c r="S115" s="49"/>
      <c r="T115" s="49"/>
      <c r="U115" s="49"/>
      <c r="V115" s="49"/>
      <c r="W115" s="49"/>
      <c r="X115" s="49"/>
    </row>
    <row r="116" spans="2:24" s="177" customFormat="1" ht="15" thickBot="1" x14ac:dyDescent="0.35">
      <c r="B116" s="195"/>
      <c r="C116" s="400"/>
      <c r="D116" s="195"/>
      <c r="E116" s="561"/>
      <c r="F116" s="195"/>
      <c r="G116" s="195"/>
      <c r="H116" s="195"/>
      <c r="I116" s="195"/>
      <c r="J116" s="195"/>
      <c r="K116" s="195"/>
      <c r="L116" s="401"/>
      <c r="M116" s="195"/>
      <c r="N116" s="195"/>
      <c r="O116" s="195"/>
      <c r="P116" s="49"/>
      <c r="Q116" s="49"/>
      <c r="R116" s="49"/>
      <c r="S116" s="49"/>
      <c r="T116" s="49"/>
      <c r="U116" s="49"/>
      <c r="V116" s="49"/>
      <c r="W116" s="49"/>
      <c r="X116" s="49"/>
    </row>
    <row r="117" spans="2:24" s="177" customFormat="1" ht="14.4" x14ac:dyDescent="0.3">
      <c r="B117" s="195"/>
      <c r="C117" s="400"/>
      <c r="D117" s="195"/>
      <c r="E117" s="561"/>
      <c r="F117" s="195"/>
      <c r="G117" s="563" t="str">
        <f>"Silver Zone - Data Engineering ("&amp;$G$114&amp;" Spark Cluster)"</f>
        <v>Silver Zone - Data Engineering (Medium (8 vCore, 64 Mem) Spark Cluster)</v>
      </c>
      <c r="H117" s="564"/>
      <c r="I117" s="564"/>
      <c r="J117" s="564"/>
      <c r="K117" s="565"/>
      <c r="L117" s="401"/>
      <c r="M117" s="195"/>
      <c r="N117" s="195"/>
      <c r="O117" s="195"/>
      <c r="P117" s="49"/>
      <c r="Q117" s="49"/>
      <c r="R117" s="49"/>
      <c r="S117" s="49"/>
      <c r="T117" s="49"/>
      <c r="U117" s="49"/>
      <c r="V117" s="49"/>
      <c r="W117" s="49"/>
      <c r="X117" s="49"/>
    </row>
    <row r="118" spans="2:24" s="177" customFormat="1" ht="18.75" customHeight="1" x14ac:dyDescent="0.3">
      <c r="B118" s="195"/>
      <c r="C118" s="400"/>
      <c r="D118" s="195"/>
      <c r="E118" s="561"/>
      <c r="F118" s="195"/>
      <c r="G118" s="234" t="s">
        <v>245</v>
      </c>
      <c r="H118" s="235" t="s">
        <v>246</v>
      </c>
      <c r="I118" s="235" t="s">
        <v>247</v>
      </c>
      <c r="J118" s="235" t="s">
        <v>248</v>
      </c>
      <c r="K118" s="236" t="s">
        <v>249</v>
      </c>
      <c r="L118" s="401"/>
      <c r="M118" s="195"/>
      <c r="N118" s="195"/>
      <c r="O118" s="195"/>
      <c r="P118" s="49"/>
      <c r="Q118" s="49"/>
      <c r="R118" s="49"/>
      <c r="S118" s="49"/>
      <c r="T118" s="49"/>
      <c r="U118" s="49"/>
      <c r="V118" s="49"/>
      <c r="W118" s="49"/>
      <c r="X118" s="49"/>
    </row>
    <row r="119" spans="2:24" s="177" customFormat="1" ht="15" thickBot="1" x14ac:dyDescent="0.35">
      <c r="B119" s="195"/>
      <c r="C119" s="400"/>
      <c r="D119" s="195"/>
      <c r="E119" s="561"/>
      <c r="F119" s="195"/>
      <c r="G119" s="237">
        <f>$G$6</f>
        <v>1000</v>
      </c>
      <c r="H119" s="226">
        <f>IFERROR(IF(OR(RIGHT(G8)="%",ISNUMBER(G8)),ROUNDUP(($H$46*$G$8/$G$119)/$I$114,0)+1,ROUNDUP((_xlfn.NUMBERVALUE(LEFT($G$8,LEN(G8)-2))/$G$119)/$I$114,0)+1),0)</f>
        <v>2</v>
      </c>
      <c r="I119" s="238">
        <v>50</v>
      </c>
      <c r="J119" s="239">
        <f>ROUNDUP(((H119*$H$114))*(I119/60)*G119,0)*$G$5</f>
        <v>6667</v>
      </c>
      <c r="K119" s="227">
        <f>IFERROR(ROUNDUP(((G119*I119)/60)/ABS(($J$114/H119)-4),0)*$G$5,1)</f>
        <v>70</v>
      </c>
      <c r="L119" s="401"/>
      <c r="M119" s="195"/>
      <c r="N119" s="228"/>
      <c r="O119" s="195"/>
      <c r="P119" s="49"/>
      <c r="Q119" s="49"/>
      <c r="R119" s="49"/>
      <c r="S119" s="49"/>
      <c r="T119" s="49"/>
      <c r="U119" s="49"/>
      <c r="V119" s="49"/>
      <c r="W119" s="49"/>
      <c r="X119" s="49"/>
    </row>
    <row r="120" spans="2:24" s="177" customFormat="1" ht="15.6" x14ac:dyDescent="0.3">
      <c r="B120" s="195"/>
      <c r="C120" s="400"/>
      <c r="D120" s="195"/>
      <c r="E120" s="561"/>
      <c r="F120" s="195"/>
      <c r="G120" s="240" t="s">
        <v>250</v>
      </c>
      <c r="H120" s="195"/>
      <c r="I120" s="195"/>
      <c r="J120" s="195"/>
      <c r="K120" s="195"/>
      <c r="L120" s="401"/>
      <c r="M120" s="195"/>
      <c r="N120" s="49"/>
      <c r="O120" s="195"/>
      <c r="P120" s="49"/>
      <c r="Q120" s="49"/>
      <c r="R120" s="49"/>
      <c r="S120" s="49"/>
      <c r="T120" s="49"/>
      <c r="U120" s="49"/>
      <c r="V120" s="49"/>
      <c r="W120" s="49"/>
      <c r="X120" s="49"/>
    </row>
    <row r="121" spans="2:24" s="177" customFormat="1" ht="15.6" x14ac:dyDescent="0.3">
      <c r="B121" s="195"/>
      <c r="C121" s="400"/>
      <c r="D121" s="195"/>
      <c r="E121" s="561"/>
      <c r="F121" s="195"/>
      <c r="G121" s="240"/>
      <c r="H121" s="195"/>
      <c r="I121" s="195"/>
      <c r="J121" s="195"/>
      <c r="K121" s="195"/>
      <c r="L121" s="401"/>
      <c r="M121" s="195"/>
      <c r="N121" s="49"/>
      <c r="O121" s="195"/>
      <c r="P121" s="49"/>
      <c r="Q121" s="49"/>
      <c r="R121" s="49"/>
      <c r="S121" s="49"/>
      <c r="T121" s="49"/>
      <c r="U121" s="49"/>
      <c r="V121" s="49"/>
      <c r="W121" s="49"/>
      <c r="X121" s="49"/>
    </row>
    <row r="122" spans="2:24" s="177" customFormat="1" ht="14.4" x14ac:dyDescent="0.3">
      <c r="B122" s="195"/>
      <c r="C122" s="400"/>
      <c r="D122" s="195"/>
      <c r="E122" s="561"/>
      <c r="F122" s="195"/>
      <c r="G122" s="481" t="s">
        <v>205</v>
      </c>
      <c r="H122" s="482" t="s">
        <v>236</v>
      </c>
      <c r="I122" s="482" t="s">
        <v>237</v>
      </c>
      <c r="J122" s="482" t="s">
        <v>238</v>
      </c>
      <c r="K122" s="483" t="s">
        <v>209</v>
      </c>
      <c r="L122" s="401"/>
      <c r="M122" s="195"/>
      <c r="N122" s="49"/>
      <c r="O122" s="195"/>
      <c r="P122" s="49"/>
      <c r="Q122" s="49"/>
      <c r="R122" s="49"/>
      <c r="S122" s="49"/>
      <c r="T122" s="49"/>
      <c r="U122" s="49"/>
      <c r="V122" s="49"/>
      <c r="W122" s="49"/>
      <c r="X122" s="49"/>
    </row>
    <row r="123" spans="2:24" s="177" customFormat="1" ht="14.4" x14ac:dyDescent="0.3">
      <c r="B123" s="195"/>
      <c r="C123" s="400"/>
      <c r="D123" s="195"/>
      <c r="E123" s="561"/>
      <c r="F123" s="195"/>
      <c r="G123" s="484">
        <f>ROUNDUP((((((LEFT($G$8,LEN($G$8)-2)*1024)/$G$6))/4)*$G$6*$G$5)*FabricMapping!$AR$61,0)</f>
        <v>1</v>
      </c>
      <c r="H123" s="485">
        <f>ROUNDUP((((((LEFT($G$8,LEN($G$8)-2)*1024)/$G$6))/4)*$G$6*$G$5)*FabricMapping!$AR$62,0)</f>
        <v>7</v>
      </c>
      <c r="I123" s="485">
        <f>ROUNDUP(($G$6*$G$5)*FabricMapping!$AR$63,0)</f>
        <v>3</v>
      </c>
      <c r="J123" s="485">
        <f>ROUNDUP(($G$6*$G$5)*FabricMapping!$AR$64,0)</f>
        <v>22</v>
      </c>
      <c r="K123" s="486">
        <f>SUM(G123:J123)</f>
        <v>33</v>
      </c>
      <c r="L123" s="401"/>
      <c r="M123" s="195"/>
      <c r="N123" s="195"/>
      <c r="O123" s="195"/>
      <c r="P123" s="49"/>
      <c r="Q123" s="49"/>
      <c r="R123" s="49"/>
      <c r="S123" s="49"/>
      <c r="T123" s="49"/>
      <c r="U123" s="49"/>
      <c r="V123" s="49"/>
      <c r="W123" s="49"/>
      <c r="X123" s="49"/>
    </row>
    <row r="124" spans="2:24" s="177" customFormat="1" ht="14.4" x14ac:dyDescent="0.3">
      <c r="B124" s="195"/>
      <c r="C124" s="400"/>
      <c r="D124" s="195"/>
      <c r="E124" s="195"/>
      <c r="F124" s="195"/>
      <c r="G124" s="195"/>
      <c r="H124" s="195"/>
      <c r="I124" s="195"/>
      <c r="J124" s="195"/>
      <c r="K124" s="195"/>
      <c r="L124" s="401"/>
      <c r="M124" s="195"/>
      <c r="N124" s="195"/>
      <c r="O124" s="195"/>
      <c r="P124" s="49"/>
      <c r="Q124" s="49"/>
      <c r="R124" s="49"/>
      <c r="S124" s="49"/>
      <c r="T124" s="49"/>
      <c r="U124" s="49"/>
      <c r="V124" s="49"/>
      <c r="W124" s="49"/>
      <c r="X124" s="49"/>
    </row>
    <row r="125" spans="2:24" s="177" customFormat="1" ht="15" thickBot="1" x14ac:dyDescent="0.35">
      <c r="B125" s="195"/>
      <c r="C125" s="409"/>
      <c r="D125" s="408"/>
      <c r="E125" s="408"/>
      <c r="F125" s="408"/>
      <c r="G125" s="408"/>
      <c r="H125" s="408"/>
      <c r="I125" s="408"/>
      <c r="J125" s="408"/>
      <c r="K125" s="408"/>
      <c r="L125" s="410"/>
      <c r="M125" s="195"/>
      <c r="N125" s="195"/>
      <c r="O125" s="195"/>
      <c r="P125" s="49"/>
      <c r="Q125" s="49"/>
      <c r="R125" s="49"/>
      <c r="S125" s="49"/>
      <c r="T125" s="49"/>
      <c r="U125" s="49"/>
      <c r="V125" s="49"/>
      <c r="W125" s="49"/>
      <c r="X125" s="49"/>
    </row>
    <row r="126" spans="2:24" s="177" customFormat="1" ht="14.4" x14ac:dyDescent="0.3">
      <c r="B126" s="195"/>
      <c r="C126" s="195"/>
      <c r="D126" s="195"/>
      <c r="E126" s="195"/>
      <c r="F126" s="195"/>
      <c r="G126" s="195"/>
      <c r="H126" s="195"/>
      <c r="I126" s="195"/>
      <c r="J126" s="195"/>
      <c r="K126" s="195"/>
      <c r="L126" s="195"/>
      <c r="M126" s="195"/>
      <c r="N126" s="195"/>
      <c r="O126" s="195"/>
      <c r="P126" s="49"/>
      <c r="Q126" s="49"/>
      <c r="R126" s="49"/>
      <c r="S126" s="49"/>
      <c r="T126" s="49"/>
      <c r="U126" s="49"/>
      <c r="V126" s="49"/>
      <c r="W126" s="49"/>
      <c r="X126" s="49"/>
    </row>
    <row r="127" spans="2:24" s="177" customFormat="1" ht="14.4" x14ac:dyDescent="0.3">
      <c r="B127" s="49"/>
      <c r="C127" s="49"/>
      <c r="D127" s="49"/>
      <c r="E127" s="49"/>
      <c r="F127" s="49"/>
      <c r="G127" s="49"/>
      <c r="H127" s="49"/>
      <c r="I127" s="49"/>
      <c r="J127" s="49"/>
      <c r="K127" s="49"/>
      <c r="L127" s="49"/>
      <c r="M127" s="49"/>
      <c r="N127" s="49"/>
      <c r="O127" s="195"/>
      <c r="P127" s="49"/>
      <c r="Q127" s="49"/>
      <c r="R127" s="49"/>
      <c r="S127" s="49"/>
      <c r="T127" s="49"/>
      <c r="U127" s="49"/>
      <c r="V127" s="49"/>
      <c r="W127" s="49"/>
      <c r="X127" s="49"/>
    </row>
    <row r="128" spans="2:24" s="177" customFormat="1" ht="14.4" x14ac:dyDescent="0.3">
      <c r="B128" s="49"/>
      <c r="C128" s="49"/>
      <c r="D128" s="49"/>
      <c r="E128" s="49"/>
      <c r="F128" s="49"/>
      <c r="G128" s="49"/>
      <c r="H128" s="49"/>
      <c r="I128" s="49"/>
      <c r="J128" s="49"/>
      <c r="K128" s="49"/>
      <c r="L128" s="49"/>
      <c r="M128" s="49"/>
      <c r="N128" s="49"/>
      <c r="O128" s="195"/>
      <c r="P128" s="49"/>
      <c r="Q128" s="49"/>
      <c r="R128" s="49"/>
      <c r="S128" s="49"/>
      <c r="T128" s="49"/>
      <c r="U128" s="49"/>
      <c r="V128" s="49"/>
      <c r="W128" s="49"/>
      <c r="X128" s="49"/>
    </row>
    <row r="129" spans="2:24" s="177" customFormat="1" ht="15" thickBot="1" x14ac:dyDescent="0.35">
      <c r="B129" s="49"/>
      <c r="C129" s="49"/>
      <c r="D129" s="49"/>
      <c r="E129" s="49"/>
      <c r="F129" s="49"/>
      <c r="G129" s="49"/>
      <c r="H129" s="49"/>
      <c r="I129" s="49"/>
      <c r="J129" s="49"/>
      <c r="K129" s="49"/>
      <c r="L129" s="49"/>
      <c r="M129" s="49"/>
      <c r="N129" s="49"/>
      <c r="O129" s="195"/>
      <c r="P129" s="49"/>
      <c r="Q129" s="49"/>
      <c r="R129" s="49"/>
      <c r="S129" s="49"/>
      <c r="T129" s="49"/>
      <c r="U129" s="49"/>
      <c r="V129" s="49"/>
      <c r="W129" s="49"/>
      <c r="X129" s="49"/>
    </row>
    <row r="130" spans="2:24" s="177" customFormat="1" ht="23.4" x14ac:dyDescent="0.45">
      <c r="B130" s="195"/>
      <c r="C130" s="188" t="s">
        <v>251</v>
      </c>
      <c r="D130" s="398"/>
      <c r="E130" s="398"/>
      <c r="F130" s="398"/>
      <c r="G130" s="398"/>
      <c r="H130" s="398"/>
      <c r="I130" s="398"/>
      <c r="J130" s="398"/>
      <c r="K130" s="398"/>
      <c r="L130" s="399"/>
      <c r="M130" s="195"/>
      <c r="N130" s="195"/>
      <c r="O130" s="195"/>
      <c r="P130" s="49"/>
      <c r="Q130" s="49"/>
      <c r="R130" s="49"/>
      <c r="S130" s="49"/>
      <c r="T130" s="49"/>
      <c r="U130" s="49"/>
      <c r="V130" s="49"/>
      <c r="W130" s="49"/>
      <c r="X130" s="49"/>
    </row>
    <row r="131" spans="2:24" s="177" customFormat="1" ht="14.4" x14ac:dyDescent="0.3">
      <c r="B131" s="195"/>
      <c r="C131" s="400"/>
      <c r="D131" s="195"/>
      <c r="E131" s="195"/>
      <c r="F131" s="195"/>
      <c r="G131" s="195"/>
      <c r="H131" s="195"/>
      <c r="I131" s="195"/>
      <c r="J131" s="195"/>
      <c r="K131" s="195"/>
      <c r="L131" s="401"/>
      <c r="M131" s="195"/>
      <c r="N131" s="195"/>
      <c r="O131" s="195"/>
      <c r="P131" s="49"/>
      <c r="Q131" s="49"/>
      <c r="R131" s="49"/>
      <c r="S131" s="49"/>
      <c r="T131" s="49"/>
      <c r="U131" s="49"/>
      <c r="V131" s="49"/>
      <c r="W131" s="49"/>
      <c r="X131" s="49"/>
    </row>
    <row r="132" spans="2:24" s="177" customFormat="1" ht="15" thickBot="1" x14ac:dyDescent="0.35">
      <c r="B132" s="195"/>
      <c r="C132" s="400"/>
      <c r="D132" s="195"/>
      <c r="E132" s="195"/>
      <c r="F132" s="195"/>
      <c r="G132" s="195"/>
      <c r="H132" s="195"/>
      <c r="I132" s="195"/>
      <c r="J132" s="195"/>
      <c r="K132" s="195"/>
      <c r="L132" s="401"/>
      <c r="M132" s="195"/>
      <c r="N132" s="195"/>
      <c r="O132" s="195"/>
      <c r="P132" s="49"/>
      <c r="Q132" s="49"/>
      <c r="R132" s="49"/>
      <c r="S132" s="49"/>
      <c r="T132" s="49"/>
      <c r="U132" s="49"/>
      <c r="V132" s="49"/>
      <c r="W132" s="49"/>
      <c r="X132" s="49"/>
    </row>
    <row r="133" spans="2:24" s="177" customFormat="1" ht="28.8" x14ac:dyDescent="0.3">
      <c r="B133" s="195"/>
      <c r="C133" s="400"/>
      <c r="D133" s="195"/>
      <c r="E133" s="195"/>
      <c r="F133" s="195"/>
      <c r="G133" s="216" t="s">
        <v>222</v>
      </c>
      <c r="H133" s="216" t="s">
        <v>223</v>
      </c>
      <c r="I133" s="216" t="s">
        <v>224</v>
      </c>
      <c r="J133" s="195"/>
      <c r="K133" s="195"/>
      <c r="L133" s="401"/>
      <c r="M133" s="195"/>
      <c r="N133" s="195"/>
      <c r="O133" s="195"/>
      <c r="P133" s="49"/>
      <c r="Q133" s="49"/>
      <c r="R133" s="49"/>
      <c r="S133" s="49"/>
      <c r="T133" s="49"/>
      <c r="U133" s="49"/>
      <c r="V133" s="49"/>
      <c r="W133" s="49"/>
      <c r="X133" s="49"/>
    </row>
    <row r="134" spans="2:24" s="177" customFormat="1" ht="14.4" x14ac:dyDescent="0.3">
      <c r="B134" s="195"/>
      <c r="C134" s="400"/>
      <c r="D134" s="195"/>
      <c r="E134" s="217" t="s">
        <v>251</v>
      </c>
      <c r="F134" s="49"/>
      <c r="G134" s="218">
        <f>J146+K153</f>
        <v>7275</v>
      </c>
      <c r="H134" s="218">
        <f>G134*7</f>
        <v>50925</v>
      </c>
      <c r="I134" s="218">
        <f>H134*52/12</f>
        <v>220675</v>
      </c>
      <c r="J134" s="195"/>
      <c r="K134" s="195"/>
      <c r="L134" s="401"/>
      <c r="M134" s="195"/>
      <c r="N134" s="195"/>
      <c r="O134" s="195"/>
      <c r="P134" s="49"/>
      <c r="Q134" s="49"/>
      <c r="R134" s="49"/>
      <c r="S134" s="49"/>
      <c r="T134" s="49"/>
      <c r="U134" s="49"/>
      <c r="V134" s="49"/>
      <c r="W134" s="49"/>
      <c r="X134" s="49"/>
    </row>
    <row r="135" spans="2:24" s="177" customFormat="1" ht="14.4" x14ac:dyDescent="0.3">
      <c r="B135" s="195"/>
      <c r="C135" s="400"/>
      <c r="D135" s="195"/>
      <c r="E135" s="219" t="s">
        <v>225</v>
      </c>
      <c r="F135" s="49"/>
      <c r="G135" s="220" t="str">
        <f>VLOOKUP(G134,FabricMapping!$C$11:$F$21,4,1)</f>
        <v>F8</v>
      </c>
      <c r="H135" s="220" t="str">
        <f>VLOOKUP(H134,FabricMapping!$D$11:$F$21,3,1)</f>
        <v>F8</v>
      </c>
      <c r="I135" s="220" t="str">
        <f>VLOOKUP(I134,FabricMapping!$E$11:$F$21,2,1)</f>
        <v>F8</v>
      </c>
      <c r="J135" s="195"/>
      <c r="K135" s="195"/>
      <c r="L135" s="401"/>
      <c r="M135" s="195"/>
      <c r="N135" s="195"/>
      <c r="O135" s="195"/>
      <c r="P135" s="49"/>
      <c r="Q135" s="49"/>
      <c r="R135" s="49"/>
      <c r="S135" s="49"/>
      <c r="T135" s="49"/>
      <c r="U135" s="49"/>
      <c r="V135" s="49"/>
      <c r="W135" s="49"/>
      <c r="X135" s="49"/>
    </row>
    <row r="136" spans="2:24" s="177" customFormat="1" ht="14.4" x14ac:dyDescent="0.3">
      <c r="B136" s="195"/>
      <c r="C136" s="400"/>
      <c r="D136" s="195"/>
      <c r="E136" s="219" t="s">
        <v>226</v>
      </c>
      <c r="F136" s="49"/>
      <c r="G136" s="218">
        <f>VLOOKUP(G135,FabricMapping!$F$10:$J$21,3,0)</f>
        <v>11520</v>
      </c>
      <c r="H136" s="218">
        <f>VLOOKUP(H135,FabricMapping!$F$10:$J$21,4,0)</f>
        <v>80640</v>
      </c>
      <c r="I136" s="218">
        <f>VLOOKUP(I135,FabricMapping!$F$10:$J$21,5,0)</f>
        <v>349440</v>
      </c>
      <c r="J136" s="195"/>
      <c r="K136" s="195"/>
      <c r="L136" s="401"/>
      <c r="M136" s="195"/>
      <c r="N136" s="195"/>
      <c r="O136" s="195"/>
      <c r="P136" s="49"/>
      <c r="Q136" s="49"/>
      <c r="R136" s="49"/>
      <c r="S136" s="49"/>
      <c r="T136" s="49"/>
      <c r="U136" s="49"/>
      <c r="V136" s="49"/>
      <c r="W136" s="49"/>
      <c r="X136" s="49"/>
    </row>
    <row r="137" spans="2:24" s="177" customFormat="1" ht="18" hidden="1" x14ac:dyDescent="0.35">
      <c r="B137" s="221"/>
      <c r="C137" s="400"/>
      <c r="D137" s="195"/>
      <c r="E137" s="219" t="s">
        <v>227</v>
      </c>
      <c r="F137" s="49"/>
      <c r="G137" s="222">
        <f>G136*Cost_Setup!$F$7/60</f>
        <v>34.559999999999995</v>
      </c>
      <c r="H137" s="222">
        <f>H136*Cost_Setup!$F$7/60</f>
        <v>241.92</v>
      </c>
      <c r="I137" s="222">
        <f>I136*Cost_Setup!$F$7/60</f>
        <v>1048.32</v>
      </c>
      <c r="J137" s="195"/>
      <c r="K137" s="195"/>
      <c r="L137" s="401"/>
      <c r="M137" s="195"/>
      <c r="N137" s="195"/>
      <c r="O137" s="195"/>
      <c r="P137" s="49"/>
      <c r="Q137" s="49"/>
      <c r="R137" s="49"/>
      <c r="S137" s="49"/>
      <c r="T137" s="49"/>
      <c r="U137" s="49"/>
      <c r="V137" s="49"/>
      <c r="W137" s="49"/>
      <c r="X137" s="49"/>
    </row>
    <row r="138" spans="2:24" s="177" customFormat="1" ht="14.4" x14ac:dyDescent="0.3">
      <c r="B138" s="195"/>
      <c r="C138" s="400"/>
      <c r="D138" s="195"/>
      <c r="E138" s="219" t="s">
        <v>228</v>
      </c>
      <c r="F138" s="49"/>
      <c r="G138" s="223">
        <f>G134/G136</f>
        <v>0.63151041666666663</v>
      </c>
      <c r="H138" s="223">
        <f t="shared" ref="H138:I138" si="5">H134/H136</f>
        <v>0.63151041666666663</v>
      </c>
      <c r="I138" s="223">
        <f t="shared" si="5"/>
        <v>0.63151041666666663</v>
      </c>
      <c r="J138" s="195"/>
      <c r="K138" s="195"/>
      <c r="L138" s="401"/>
      <c r="M138" s="195"/>
      <c r="N138" s="195"/>
      <c r="O138" s="195"/>
      <c r="P138" s="49"/>
      <c r="Q138" s="49"/>
      <c r="R138" s="49"/>
      <c r="S138" s="49"/>
      <c r="T138" s="49"/>
      <c r="U138" s="49"/>
      <c r="V138" s="49"/>
      <c r="W138" s="49"/>
      <c r="X138" s="49"/>
    </row>
    <row r="139" spans="2:24" s="177" customFormat="1" ht="14.4" x14ac:dyDescent="0.3">
      <c r="B139" s="195"/>
      <c r="C139" s="400"/>
      <c r="D139" s="195"/>
      <c r="E139" s="195"/>
      <c r="F139" s="195"/>
      <c r="G139" s="195"/>
      <c r="H139" s="195"/>
      <c r="I139" s="195"/>
      <c r="J139" s="195"/>
      <c r="K139" s="195"/>
      <c r="L139" s="401"/>
      <c r="M139" s="195"/>
      <c r="N139" s="195"/>
      <c r="O139" s="195"/>
      <c r="P139" s="49"/>
      <c r="Q139" s="49"/>
      <c r="R139" s="49"/>
      <c r="S139" s="49"/>
      <c r="T139" s="49"/>
      <c r="U139" s="49"/>
      <c r="V139" s="49"/>
      <c r="W139" s="49"/>
      <c r="X139" s="49"/>
    </row>
    <row r="140" spans="2:24" s="177" customFormat="1" ht="14.4" x14ac:dyDescent="0.3">
      <c r="B140" s="195"/>
      <c r="C140" s="400"/>
      <c r="D140" s="195"/>
      <c r="E140" s="195"/>
      <c r="F140" s="195"/>
      <c r="G140" s="195"/>
      <c r="H140" s="195"/>
      <c r="I140" s="195"/>
      <c r="J140" s="195"/>
      <c r="K140" s="195"/>
      <c r="L140" s="401"/>
      <c r="M140" s="195"/>
      <c r="N140" s="195"/>
      <c r="O140" s="195"/>
      <c r="P140" s="49"/>
      <c r="Q140" s="49"/>
      <c r="R140" s="49"/>
      <c r="S140" s="49"/>
      <c r="T140" s="49"/>
      <c r="U140" s="49"/>
      <c r="V140" s="49"/>
      <c r="W140" s="49"/>
      <c r="X140" s="49"/>
    </row>
    <row r="141" spans="2:24" s="177" customFormat="1" ht="15" thickBot="1" x14ac:dyDescent="0.35">
      <c r="B141" s="195"/>
      <c r="C141" s="400"/>
      <c r="D141" s="195"/>
      <c r="E141" s="195"/>
      <c r="F141" s="195"/>
      <c r="G141" s="195"/>
      <c r="H141" s="195"/>
      <c r="I141" s="195"/>
      <c r="J141" s="195"/>
      <c r="K141" s="195"/>
      <c r="L141" s="401"/>
      <c r="M141" s="195"/>
      <c r="N141" s="195"/>
      <c r="O141" s="195"/>
      <c r="P141" s="49"/>
      <c r="Q141" s="49"/>
      <c r="R141" s="49"/>
      <c r="S141" s="49"/>
      <c r="T141" s="49"/>
      <c r="U141" s="49"/>
      <c r="V141" s="49"/>
      <c r="W141" s="49"/>
      <c r="X141" s="49"/>
    </row>
    <row r="142" spans="2:24" s="177" customFormat="1" ht="15" thickBot="1" x14ac:dyDescent="0.35">
      <c r="B142" s="195"/>
      <c r="C142" s="400"/>
      <c r="D142" s="195"/>
      <c r="E142" s="562" t="s">
        <v>252</v>
      </c>
      <c r="F142" s="195"/>
      <c r="G142" s="590" t="s">
        <v>253</v>
      </c>
      <c r="H142" s="591"/>
      <c r="I142" s="591"/>
      <c r="J142" s="591"/>
      <c r="K142" s="592"/>
      <c r="L142" s="401"/>
      <c r="M142" s="195"/>
      <c r="N142" s="195"/>
      <c r="O142" s="195"/>
      <c r="P142" s="49"/>
      <c r="Q142" s="49"/>
      <c r="R142" s="49"/>
      <c r="S142" s="49"/>
      <c r="T142" s="49"/>
      <c r="U142" s="49"/>
      <c r="V142" s="49"/>
      <c r="W142" s="49"/>
      <c r="X142" s="49"/>
    </row>
    <row r="143" spans="2:24" s="177" customFormat="1" ht="15" thickBot="1" x14ac:dyDescent="0.35">
      <c r="B143" s="195"/>
      <c r="C143" s="400"/>
      <c r="D143" s="195"/>
      <c r="E143" s="562"/>
      <c r="F143" s="195"/>
      <c r="G143" s="241" t="s">
        <v>254</v>
      </c>
      <c r="H143" s="242">
        <f>MAX(12,ROUNDUP($G$6/8,0))</f>
        <v>125</v>
      </c>
      <c r="I143" s="243"/>
      <c r="J143" s="243"/>
      <c r="K143" s="244"/>
      <c r="L143" s="401"/>
      <c r="M143" s="195"/>
      <c r="N143" s="228"/>
      <c r="O143" s="195"/>
      <c r="P143" s="49"/>
      <c r="Q143" s="49"/>
      <c r="R143" s="49"/>
      <c r="S143" s="49"/>
      <c r="T143" s="49"/>
      <c r="U143" s="49"/>
      <c r="V143" s="49"/>
      <c r="W143" s="49"/>
      <c r="X143" s="49"/>
    </row>
    <row r="144" spans="2:24" s="177" customFormat="1" ht="18.75" customHeight="1" x14ac:dyDescent="0.3">
      <c r="B144" s="195"/>
      <c r="C144" s="400"/>
      <c r="D144" s="195"/>
      <c r="E144" s="562"/>
      <c r="F144" s="195"/>
      <c r="G144" s="563" t="s">
        <v>255</v>
      </c>
      <c r="H144" s="564"/>
      <c r="I144" s="564"/>
      <c r="J144" s="564"/>
      <c r="K144" s="565"/>
      <c r="L144" s="401"/>
      <c r="M144" s="412"/>
      <c r="N144" s="195"/>
      <c r="O144" s="195"/>
      <c r="P144" s="49"/>
      <c r="Q144" s="49"/>
      <c r="R144" s="49"/>
      <c r="S144" s="49"/>
      <c r="T144" s="49"/>
      <c r="U144" s="49"/>
      <c r="V144" s="49"/>
      <c r="W144" s="49"/>
      <c r="X144" s="49"/>
    </row>
    <row r="145" spans="2:24" s="177" customFormat="1" ht="14.4" x14ac:dyDescent="0.3">
      <c r="B145" s="195"/>
      <c r="C145" s="400"/>
      <c r="D145" s="195"/>
      <c r="E145" s="562"/>
      <c r="F145" s="195"/>
      <c r="G145" s="413" t="s">
        <v>256</v>
      </c>
      <c r="H145" s="414" t="s">
        <v>257</v>
      </c>
      <c r="I145" s="414" t="s">
        <v>258</v>
      </c>
      <c r="J145" s="585" t="s">
        <v>248</v>
      </c>
      <c r="K145" s="586"/>
      <c r="L145" s="401"/>
      <c r="M145" s="412"/>
      <c r="N145" s="195"/>
      <c r="O145" s="195"/>
      <c r="P145" s="49"/>
      <c r="Q145" s="49"/>
      <c r="R145" s="49"/>
      <c r="S145" s="49"/>
      <c r="T145" s="49"/>
      <c r="U145" s="49"/>
      <c r="V145" s="49"/>
      <c r="W145" s="49"/>
      <c r="X145" s="49"/>
    </row>
    <row r="146" spans="2:24" s="177" customFormat="1" ht="15" thickBot="1" x14ac:dyDescent="0.35">
      <c r="B146" s="195"/>
      <c r="C146" s="400"/>
      <c r="D146" s="195"/>
      <c r="E146" s="562"/>
      <c r="F146" s="195"/>
      <c r="G146" s="415">
        <f>$G$5</f>
        <v>1</v>
      </c>
      <c r="H146" s="416">
        <f>K44</f>
        <v>0.3</v>
      </c>
      <c r="I146" s="406">
        <f>(K46/1000)*2.5</f>
        <v>13.5</v>
      </c>
      <c r="J146" s="581">
        <f>G146*(SUM(J148:K150))*FabricMapping!$F$74</f>
        <v>7263</v>
      </c>
      <c r="K146" s="582"/>
      <c r="L146" s="401"/>
      <c r="M146" s="412"/>
      <c r="N146" s="228"/>
      <c r="O146" s="195"/>
      <c r="P146" s="49"/>
      <c r="Q146" s="49"/>
      <c r="R146" s="49"/>
      <c r="S146" s="49"/>
      <c r="T146" s="49"/>
      <c r="U146" s="49"/>
      <c r="V146" s="49"/>
      <c r="W146" s="49"/>
      <c r="X146" s="49"/>
    </row>
    <row r="147" spans="2:24" s="177" customFormat="1" ht="14.4" x14ac:dyDescent="0.3">
      <c r="B147" s="195"/>
      <c r="C147" s="400"/>
      <c r="D147" s="195"/>
      <c r="E147" s="562"/>
      <c r="F147" s="195"/>
      <c r="G147" s="413" t="s">
        <v>259</v>
      </c>
      <c r="H147" s="417" t="s">
        <v>260</v>
      </c>
      <c r="I147" s="414" t="s">
        <v>261</v>
      </c>
      <c r="J147" s="593" t="s">
        <v>248</v>
      </c>
      <c r="K147" s="594"/>
      <c r="L147" s="401"/>
      <c r="M147" s="412"/>
      <c r="N147" s="195"/>
      <c r="O147" s="195"/>
      <c r="P147" s="49"/>
      <c r="Q147" s="49"/>
      <c r="R147" s="49"/>
      <c r="S147" s="49"/>
      <c r="T147" s="49"/>
      <c r="U147" s="49"/>
      <c r="V147" s="49"/>
      <c r="W147" s="49"/>
      <c r="X147" s="49"/>
    </row>
    <row r="148" spans="2:24" s="177" customFormat="1" ht="14.4" x14ac:dyDescent="0.3">
      <c r="B148" s="195"/>
      <c r="C148" s="400"/>
      <c r="D148" s="195"/>
      <c r="E148" s="562"/>
      <c r="F148" s="195"/>
      <c r="G148" s="418" t="s">
        <v>262</v>
      </c>
      <c r="H148" s="419">
        <f>ROUNDUP(VLOOKUP($G148,FabricMapping!$F$28:$I$31,3,FALSE)*ROUNDUP($H$143,0),0)+IF(UserInputs!$D$4="Data Lakehouse",0,$G$6)</f>
        <v>107</v>
      </c>
      <c r="I148" s="420">
        <f>($I$146/H148)</f>
        <v>0.12616822429906541</v>
      </c>
      <c r="J148" s="595">
        <f>ROUNDUP(H148*I148*VLOOKUP(G148,FabricMapping!$F$28:$N$31,6,FALSE)*FabricMapping!$AN$34,0)</f>
        <v>432</v>
      </c>
      <c r="K148" s="596"/>
      <c r="L148" s="401"/>
      <c r="M148" s="412"/>
      <c r="N148" s="228"/>
      <c r="O148" s="195"/>
      <c r="P148" s="49"/>
      <c r="Q148" s="49"/>
      <c r="R148" s="49"/>
      <c r="S148" s="49"/>
      <c r="T148" s="49"/>
      <c r="U148" s="49"/>
      <c r="V148" s="49"/>
      <c r="W148" s="49"/>
      <c r="X148" s="49"/>
    </row>
    <row r="149" spans="2:24" s="177" customFormat="1" ht="14.4" x14ac:dyDescent="0.3">
      <c r="B149" s="195"/>
      <c r="C149" s="400"/>
      <c r="D149" s="195"/>
      <c r="E149" s="562"/>
      <c r="F149" s="195"/>
      <c r="G149" s="418" t="s">
        <v>263</v>
      </c>
      <c r="H149" s="419">
        <f>ROUNDUP(VLOOKUP($G149,FabricMapping!$F$28:$I$31,3,FALSE)*ROUNDUP($H$143,0),0)</f>
        <v>13</v>
      </c>
      <c r="I149" s="421">
        <f t="shared" ref="I149" si="6">($I$146/H149)</f>
        <v>1.0384615384615385</v>
      </c>
      <c r="J149" s="595">
        <f>ROUNDUP(H149*I149*VLOOKUP(G149,FabricMapping!$F$28:$N$31,6,FALSE)*FabricMapping!$AN$34,0)</f>
        <v>1512</v>
      </c>
      <c r="K149" s="596"/>
      <c r="L149" s="401"/>
      <c r="M149" s="412"/>
      <c r="N149" s="228"/>
      <c r="O149" s="195"/>
      <c r="P149" s="49"/>
      <c r="Q149" s="49"/>
      <c r="R149" s="49"/>
      <c r="S149" s="49"/>
      <c r="T149" s="49"/>
      <c r="U149" s="49"/>
      <c r="V149" s="49"/>
      <c r="W149" s="49"/>
      <c r="X149" s="49"/>
    </row>
    <row r="150" spans="2:24" s="177" customFormat="1" ht="15" thickBot="1" x14ac:dyDescent="0.35">
      <c r="B150" s="195"/>
      <c r="C150" s="400"/>
      <c r="D150" s="195"/>
      <c r="E150" s="562"/>
      <c r="F150" s="195"/>
      <c r="G150" s="415" t="s">
        <v>264</v>
      </c>
      <c r="H150" s="422">
        <f>ROUNDUP(VLOOKUP($G150,FabricMapping!$F$28:$I$31,3,FALSE)*ROUNDUP($H$143,0),0)</f>
        <v>7</v>
      </c>
      <c r="I150" s="423">
        <f>($I$146/H150)+0.05</f>
        <v>1.9785714285714286</v>
      </c>
      <c r="J150" s="581">
        <f>ROUNDUP(H150*I150*VLOOKUP(G150,FabricMapping!$F$28:$N$31,6,FALSE)*FabricMapping!$AN$34,0)</f>
        <v>5319</v>
      </c>
      <c r="K150" s="582"/>
      <c r="L150" s="401"/>
      <c r="M150" s="412"/>
      <c r="N150" s="228"/>
      <c r="O150" s="195"/>
      <c r="P150" s="49"/>
      <c r="Q150" s="49"/>
      <c r="R150" s="49"/>
      <c r="S150" s="49"/>
      <c r="T150" s="49"/>
      <c r="U150" s="49"/>
      <c r="V150" s="49"/>
      <c r="W150" s="49"/>
      <c r="X150" s="49"/>
    </row>
    <row r="151" spans="2:24" s="177" customFormat="1" ht="14.4" x14ac:dyDescent="0.3">
      <c r="B151" s="195"/>
      <c r="C151" s="400"/>
      <c r="D151" s="195"/>
      <c r="E151" s="562"/>
      <c r="F151" s="195"/>
      <c r="G151" s="245" t="s">
        <v>265</v>
      </c>
      <c r="H151" s="195"/>
      <c r="I151" s="195"/>
      <c r="J151" s="195"/>
      <c r="K151" s="195"/>
      <c r="L151" s="401"/>
      <c r="M151" s="412"/>
      <c r="N151" s="195"/>
      <c r="O151" s="195"/>
      <c r="P151" s="49"/>
      <c r="Q151" s="49"/>
      <c r="R151" s="49"/>
      <c r="S151" s="49"/>
      <c r="T151" s="49"/>
      <c r="U151" s="49"/>
      <c r="V151" s="49"/>
      <c r="W151" s="49"/>
      <c r="X151" s="49"/>
    </row>
    <row r="152" spans="2:24" s="177" customFormat="1" ht="14.4" x14ac:dyDescent="0.3">
      <c r="B152" s="195"/>
      <c r="C152" s="400"/>
      <c r="D152" s="195"/>
      <c r="E152" s="562"/>
      <c r="F152" s="195"/>
      <c r="G152" s="481" t="s">
        <v>205</v>
      </c>
      <c r="H152" s="482" t="s">
        <v>236</v>
      </c>
      <c r="I152" s="482" t="s">
        <v>237</v>
      </c>
      <c r="J152" s="482" t="s">
        <v>238</v>
      </c>
      <c r="K152" s="483" t="s">
        <v>209</v>
      </c>
      <c r="L152" s="401"/>
      <c r="M152" s="412"/>
      <c r="N152" s="195"/>
      <c r="O152" s="195"/>
      <c r="P152" s="49"/>
      <c r="Q152" s="49"/>
      <c r="R152" s="49"/>
      <c r="S152" s="49"/>
      <c r="T152" s="49"/>
      <c r="U152" s="49"/>
      <c r="V152" s="49"/>
      <c r="W152" s="49"/>
      <c r="X152" s="49"/>
    </row>
    <row r="153" spans="2:24" s="177" customFormat="1" ht="14.4" x14ac:dyDescent="0.3">
      <c r="B153" s="195"/>
      <c r="C153" s="400"/>
      <c r="D153" s="195"/>
      <c r="E153" s="562"/>
      <c r="F153" s="195"/>
      <c r="G153" s="484">
        <f>ROUNDUP((((((LEFT($G$8,LEN($G$8)-2)*1024)/SUM($H$148:$H$150)))/4)*SUM($H$148:$H$150)*$G$5)*FabricMapping!$AR$61,0)</f>
        <v>1</v>
      </c>
      <c r="H153" s="485">
        <f>ROUNDUP((((((LEFT($G$8,LEN($G$8)-2)*1024)/SUM($H$148:$H$150)))/4)*SUM($H$148:$H$150)*$G$5)*FabricMapping!$AR$62,0)</f>
        <v>7</v>
      </c>
      <c r="I153" s="485">
        <f>ROUNDUP((SUM($H$148:$H$150)*$G$5)*FabricMapping!$AR$63,0)</f>
        <v>1</v>
      </c>
      <c r="J153" s="485">
        <f>ROUNDUP((SUM($H$148:$H$150)*$G$5)*FabricMapping!$AR$64,0)</f>
        <v>3</v>
      </c>
      <c r="K153" s="486">
        <f>SUM(G153:J153)</f>
        <v>12</v>
      </c>
      <c r="L153" s="401"/>
      <c r="M153" s="412"/>
      <c r="N153" s="195"/>
      <c r="O153" s="195"/>
      <c r="P153" s="49"/>
      <c r="Q153" s="49"/>
      <c r="R153" s="49"/>
      <c r="S153" s="49"/>
      <c r="T153" s="49"/>
      <c r="U153" s="49"/>
      <c r="V153" s="49"/>
      <c r="W153" s="49"/>
      <c r="X153" s="49"/>
    </row>
    <row r="154" spans="2:24" s="177" customFormat="1" ht="14.4" x14ac:dyDescent="0.3">
      <c r="B154" s="195"/>
      <c r="C154" s="400"/>
      <c r="D154" s="195"/>
      <c r="E154" s="195"/>
      <c r="F154" s="195"/>
      <c r="G154" s="195"/>
      <c r="H154" s="195"/>
      <c r="I154" s="195"/>
      <c r="J154" s="195"/>
      <c r="K154" s="195"/>
      <c r="L154" s="401"/>
      <c r="M154" s="412"/>
      <c r="N154" s="195"/>
      <c r="O154" s="195"/>
      <c r="P154" s="49"/>
      <c r="Q154" s="49"/>
      <c r="R154" s="49"/>
      <c r="S154" s="49"/>
      <c r="T154" s="49"/>
      <c r="U154" s="49"/>
      <c r="V154" s="49"/>
      <c r="W154" s="49"/>
      <c r="X154" s="49"/>
    </row>
    <row r="155" spans="2:24" s="177" customFormat="1" ht="15" thickBot="1" x14ac:dyDescent="0.35">
      <c r="B155" s="195"/>
      <c r="C155" s="409"/>
      <c r="D155" s="408"/>
      <c r="E155" s="408"/>
      <c r="F155" s="408"/>
      <c r="G155" s="408"/>
      <c r="H155" s="408"/>
      <c r="I155" s="408"/>
      <c r="J155" s="408"/>
      <c r="K155" s="408"/>
      <c r="L155" s="410"/>
      <c r="M155" s="195"/>
      <c r="N155" s="195"/>
      <c r="O155" s="195"/>
      <c r="P155" s="49"/>
      <c r="Q155" s="49"/>
      <c r="R155" s="49"/>
      <c r="S155" s="49"/>
      <c r="T155" s="49"/>
      <c r="U155" s="49"/>
      <c r="V155" s="49"/>
      <c r="W155" s="49"/>
      <c r="X155" s="49"/>
    </row>
    <row r="156" spans="2:24" s="177" customFormat="1" ht="14.4" x14ac:dyDescent="0.3">
      <c r="B156" s="49"/>
      <c r="C156" s="49"/>
      <c r="D156" s="49"/>
      <c r="E156" s="49"/>
      <c r="F156" s="49"/>
      <c r="G156" s="49"/>
      <c r="H156" s="49"/>
      <c r="I156" s="49"/>
      <c r="J156" s="49"/>
      <c r="K156" s="49"/>
      <c r="L156" s="49"/>
      <c r="M156" s="49"/>
      <c r="N156" s="195"/>
      <c r="O156" s="195"/>
      <c r="P156" s="49"/>
      <c r="Q156" s="49"/>
      <c r="R156" s="49"/>
      <c r="S156" s="49"/>
      <c r="T156" s="49"/>
      <c r="U156" s="49"/>
      <c r="V156" s="49"/>
      <c r="W156" s="49"/>
      <c r="X156" s="49"/>
    </row>
    <row r="157" spans="2:24" s="177" customFormat="1" ht="14.4" x14ac:dyDescent="0.3">
      <c r="B157" s="49"/>
      <c r="C157" s="49"/>
      <c r="D157" s="49"/>
      <c r="E157" s="49"/>
      <c r="F157" s="49"/>
      <c r="G157" s="49"/>
      <c r="H157" s="49"/>
      <c r="I157" s="49"/>
      <c r="J157" s="49"/>
      <c r="K157" s="49"/>
      <c r="L157" s="49"/>
      <c r="M157" s="49"/>
      <c r="N157" s="195"/>
      <c r="O157" s="195"/>
      <c r="P157" s="49"/>
      <c r="Q157" s="49"/>
      <c r="R157" s="49"/>
      <c r="S157" s="49"/>
      <c r="T157" s="49"/>
      <c r="U157" s="49"/>
      <c r="V157" s="49"/>
      <c r="W157" s="49"/>
      <c r="X157" s="49"/>
    </row>
    <row r="158" spans="2:24" s="177" customFormat="1" ht="14.4" x14ac:dyDescent="0.3">
      <c r="B158" s="49"/>
      <c r="C158" s="49"/>
      <c r="D158" s="49"/>
      <c r="E158" s="49"/>
      <c r="F158" s="49"/>
      <c r="G158" s="49"/>
      <c r="H158" s="49"/>
      <c r="I158" s="49"/>
      <c r="J158" s="49"/>
      <c r="K158" s="49"/>
      <c r="L158" s="49"/>
      <c r="M158" s="49"/>
      <c r="N158" s="195"/>
      <c r="O158" s="195"/>
      <c r="P158" s="49"/>
      <c r="Q158" s="49"/>
      <c r="R158" s="49"/>
      <c r="S158" s="49"/>
      <c r="T158" s="49"/>
      <c r="U158" s="49"/>
      <c r="V158" s="49"/>
      <c r="W158" s="49"/>
      <c r="X158" s="49"/>
    </row>
    <row r="159" spans="2:24" s="177" customFormat="1" ht="14.4" x14ac:dyDescent="0.3">
      <c r="B159" s="49"/>
      <c r="C159" s="49"/>
      <c r="D159" s="49"/>
      <c r="E159" s="49"/>
      <c r="F159" s="49"/>
      <c r="G159" s="49"/>
      <c r="H159" s="49"/>
      <c r="I159" s="49"/>
      <c r="J159" s="49"/>
      <c r="K159" s="49"/>
      <c r="L159" s="49"/>
      <c r="M159" s="49"/>
      <c r="N159" s="195"/>
      <c r="O159" s="195"/>
      <c r="P159" s="49"/>
      <c r="Q159" s="49"/>
      <c r="R159" s="49"/>
      <c r="S159" s="49"/>
      <c r="T159" s="49"/>
      <c r="U159" s="49"/>
      <c r="V159" s="49"/>
      <c r="W159" s="49"/>
      <c r="X159" s="49"/>
    </row>
    <row r="160" spans="2:24" s="177" customFormat="1" ht="15" thickBot="1" x14ac:dyDescent="0.35">
      <c r="B160" s="49"/>
      <c r="C160" s="49"/>
      <c r="D160" s="49"/>
      <c r="E160" s="49"/>
      <c r="F160" s="49"/>
      <c r="G160" s="49"/>
      <c r="H160" s="49"/>
      <c r="I160" s="49"/>
      <c r="J160" s="49"/>
      <c r="K160" s="49"/>
      <c r="L160" s="49"/>
      <c r="M160" s="49"/>
      <c r="N160" s="195"/>
      <c r="O160" s="195"/>
      <c r="P160" s="49"/>
      <c r="Q160" s="49"/>
      <c r="R160" s="49"/>
      <c r="S160" s="49"/>
      <c r="T160" s="49"/>
      <c r="U160" s="49"/>
      <c r="V160" s="49"/>
      <c r="W160" s="49"/>
      <c r="X160" s="49"/>
    </row>
    <row r="161" spans="2:24" s="177" customFormat="1" ht="23.4" x14ac:dyDescent="0.45">
      <c r="B161" s="49"/>
      <c r="C161" s="188" t="s">
        <v>266</v>
      </c>
      <c r="D161" s="190"/>
      <c r="E161" s="190"/>
      <c r="F161" s="190"/>
      <c r="G161" s="190"/>
      <c r="H161" s="190"/>
      <c r="I161" s="190"/>
      <c r="J161" s="190"/>
      <c r="K161" s="190"/>
      <c r="L161" s="246"/>
      <c r="M161" s="49"/>
      <c r="N161" s="195"/>
      <c r="O161" s="195"/>
      <c r="P161" s="49"/>
      <c r="Q161" s="49"/>
      <c r="R161" s="49"/>
      <c r="S161" s="49"/>
      <c r="T161" s="49"/>
      <c r="U161" s="49"/>
      <c r="V161" s="49"/>
      <c r="W161" s="49"/>
      <c r="X161" s="49"/>
    </row>
    <row r="162" spans="2:24" s="177" customFormat="1" ht="14.4" x14ac:dyDescent="0.3">
      <c r="B162" s="49"/>
      <c r="C162" s="247"/>
      <c r="D162" s="49"/>
      <c r="E162" s="49"/>
      <c r="F162" s="49"/>
      <c r="G162" s="49"/>
      <c r="H162" s="49"/>
      <c r="I162" s="49"/>
      <c r="J162" s="49"/>
      <c r="K162" s="49"/>
      <c r="L162" s="248"/>
      <c r="M162" s="49"/>
      <c r="N162" s="195"/>
      <c r="O162" s="195"/>
      <c r="P162" s="49"/>
      <c r="Q162" s="49"/>
      <c r="R162" s="49"/>
      <c r="S162" s="49"/>
      <c r="T162" s="49"/>
      <c r="U162" s="49"/>
      <c r="V162" s="49"/>
      <c r="W162" s="49"/>
      <c r="X162" s="49"/>
    </row>
    <row r="163" spans="2:24" s="177" customFormat="1" ht="14.4" x14ac:dyDescent="0.3">
      <c r="B163" s="49"/>
      <c r="C163" s="247"/>
      <c r="D163" s="49"/>
      <c r="E163" s="49"/>
      <c r="F163" s="49"/>
      <c r="G163" s="49"/>
      <c r="H163" s="49"/>
      <c r="I163" s="49"/>
      <c r="J163" s="49"/>
      <c r="K163" s="49"/>
      <c r="L163" s="248"/>
      <c r="M163" s="49"/>
      <c r="N163" s="195"/>
      <c r="O163" s="195"/>
      <c r="P163" s="49"/>
      <c r="Q163" s="49"/>
      <c r="R163" s="49"/>
      <c r="S163" s="49"/>
      <c r="T163" s="49"/>
      <c r="U163" s="49"/>
      <c r="V163" s="49"/>
      <c r="W163" s="49"/>
      <c r="X163" s="49"/>
    </row>
    <row r="164" spans="2:24" s="177" customFormat="1" ht="15" thickBot="1" x14ac:dyDescent="0.35">
      <c r="B164" s="195"/>
      <c r="C164" s="400"/>
      <c r="D164" s="195"/>
      <c r="E164" s="195"/>
      <c r="F164" s="195"/>
      <c r="G164" s="195"/>
      <c r="H164" s="195"/>
      <c r="I164" s="195"/>
      <c r="J164" s="195"/>
      <c r="K164" s="195"/>
      <c r="L164" s="401"/>
      <c r="M164" s="195"/>
      <c r="N164" s="195"/>
      <c r="O164" s="195"/>
      <c r="P164" s="49"/>
      <c r="Q164" s="49"/>
      <c r="R164" s="49"/>
      <c r="S164" s="49"/>
      <c r="T164" s="49"/>
      <c r="U164" s="49"/>
      <c r="V164" s="49"/>
      <c r="W164" s="49"/>
      <c r="X164" s="49"/>
    </row>
    <row r="165" spans="2:24" s="177" customFormat="1" ht="28.8" x14ac:dyDescent="0.3">
      <c r="B165" s="195"/>
      <c r="C165" s="400"/>
      <c r="D165" s="195"/>
      <c r="E165" s="195"/>
      <c r="F165" s="195"/>
      <c r="G165" s="216" t="s">
        <v>222</v>
      </c>
      <c r="H165" s="216" t="s">
        <v>223</v>
      </c>
      <c r="I165" s="216" t="s">
        <v>224</v>
      </c>
      <c r="J165" s="195"/>
      <c r="K165" s="195"/>
      <c r="L165" s="401"/>
      <c r="M165" s="195"/>
      <c r="N165" s="195"/>
      <c r="O165" s="195"/>
      <c r="P165" s="49"/>
      <c r="Q165" s="49"/>
      <c r="R165" s="49"/>
      <c r="S165" s="49"/>
      <c r="T165" s="49"/>
      <c r="U165" s="49"/>
      <c r="V165" s="49"/>
      <c r="W165" s="49"/>
      <c r="X165" s="49"/>
    </row>
    <row r="166" spans="2:24" s="177" customFormat="1" ht="14.4" x14ac:dyDescent="0.3">
      <c r="B166" s="195"/>
      <c r="C166" s="400"/>
      <c r="D166" s="195"/>
      <c r="E166" s="217" t="s">
        <v>267</v>
      </c>
      <c r="F166" s="49"/>
      <c r="G166" s="218">
        <f>J182+K189</f>
        <v>1209</v>
      </c>
      <c r="H166" s="218">
        <f>G166*7</f>
        <v>8463</v>
      </c>
      <c r="I166" s="218">
        <f>H166*52/12</f>
        <v>36673</v>
      </c>
      <c r="J166" s="195"/>
      <c r="K166" s="195"/>
      <c r="L166" s="401"/>
      <c r="M166" s="195"/>
      <c r="N166" s="195"/>
      <c r="O166" s="195"/>
      <c r="P166" s="49"/>
      <c r="Q166" s="49"/>
      <c r="R166" s="49"/>
      <c r="S166" s="49"/>
      <c r="T166" s="49"/>
      <c r="U166" s="49"/>
      <c r="V166" s="49"/>
      <c r="W166" s="49"/>
      <c r="X166" s="49"/>
    </row>
    <row r="167" spans="2:24" s="177" customFormat="1" ht="14.4" x14ac:dyDescent="0.3">
      <c r="B167" s="195"/>
      <c r="C167" s="400"/>
      <c r="D167" s="195"/>
      <c r="E167" s="219" t="s">
        <v>225</v>
      </c>
      <c r="F167" s="49"/>
      <c r="G167" s="220" t="str">
        <f>VLOOKUP(G166,FabricMapping!$C$11:$F$21,4,1)</f>
        <v>F2</v>
      </c>
      <c r="H167" s="220" t="str">
        <f>VLOOKUP(H166,FabricMapping!$D$11:$F$21,3,1)</f>
        <v>F2</v>
      </c>
      <c r="I167" s="220" t="str">
        <f>VLOOKUP(I166,FabricMapping!$E$11:$F$21,2,1)</f>
        <v>F2</v>
      </c>
      <c r="J167" s="195"/>
      <c r="K167" s="195"/>
      <c r="L167" s="401"/>
      <c r="M167" s="195"/>
      <c r="N167" s="195"/>
      <c r="O167" s="195"/>
      <c r="P167" s="49"/>
      <c r="Q167" s="49"/>
      <c r="R167" s="49"/>
      <c r="S167" s="49"/>
      <c r="T167" s="49"/>
      <c r="U167" s="49"/>
      <c r="V167" s="49"/>
      <c r="W167" s="49"/>
      <c r="X167" s="49"/>
    </row>
    <row r="168" spans="2:24" s="177" customFormat="1" ht="14.4" x14ac:dyDescent="0.3">
      <c r="B168" s="195"/>
      <c r="C168" s="400"/>
      <c r="D168" s="195"/>
      <c r="E168" s="219" t="s">
        <v>226</v>
      </c>
      <c r="F168" s="49"/>
      <c r="G168" s="218">
        <f>VLOOKUP(G167,FabricMapping!$F$10:$J$21,3,0)</f>
        <v>2880</v>
      </c>
      <c r="H168" s="218">
        <f>VLOOKUP(H167,FabricMapping!$F$10:$J$21,4,0)</f>
        <v>20160</v>
      </c>
      <c r="I168" s="218">
        <f>VLOOKUP(I167,FabricMapping!$F$10:$J$21,5,0)</f>
        <v>87360</v>
      </c>
      <c r="J168" s="195"/>
      <c r="K168" s="195"/>
      <c r="L168" s="401"/>
      <c r="M168" s="195"/>
      <c r="N168" s="195"/>
      <c r="O168" s="195"/>
      <c r="P168" s="49"/>
      <c r="Q168" s="49"/>
      <c r="R168" s="49"/>
      <c r="S168" s="49"/>
      <c r="T168" s="49"/>
      <c r="U168" s="49"/>
      <c r="V168" s="49"/>
      <c r="W168" s="49"/>
      <c r="X168" s="49"/>
    </row>
    <row r="169" spans="2:24" s="177" customFormat="1" ht="18" hidden="1" x14ac:dyDescent="0.35">
      <c r="B169" s="221"/>
      <c r="C169" s="400"/>
      <c r="D169" s="195"/>
      <c r="E169" s="219" t="s">
        <v>227</v>
      </c>
      <c r="F169" s="49"/>
      <c r="G169" s="222">
        <f>G168*Cost_Setup!$F$7/60</f>
        <v>8.6399999999999988</v>
      </c>
      <c r="H169" s="222">
        <f>H168*Cost_Setup!$F$7/60</f>
        <v>60.48</v>
      </c>
      <c r="I169" s="222">
        <f>I168*Cost_Setup!$F$7/60</f>
        <v>262.08</v>
      </c>
      <c r="J169" s="195"/>
      <c r="K169" s="195"/>
      <c r="L169" s="401"/>
      <c r="M169" s="195"/>
      <c r="N169" s="195"/>
      <c r="O169" s="195"/>
      <c r="P169" s="49"/>
      <c r="Q169" s="49"/>
      <c r="R169" s="49"/>
      <c r="S169" s="49"/>
      <c r="T169" s="49"/>
      <c r="U169" s="49"/>
      <c r="V169" s="49"/>
      <c r="W169" s="49"/>
      <c r="X169" s="49"/>
    </row>
    <row r="170" spans="2:24" s="177" customFormat="1" ht="14.4" x14ac:dyDescent="0.3">
      <c r="B170" s="195"/>
      <c r="C170" s="400"/>
      <c r="D170" s="195"/>
      <c r="E170" s="219" t="s">
        <v>228</v>
      </c>
      <c r="F170" s="49"/>
      <c r="G170" s="223">
        <f>G166/G168</f>
        <v>0.41979166666666667</v>
      </c>
      <c r="H170" s="223">
        <f t="shared" ref="H170:I170" si="7">H166/H168</f>
        <v>0.41979166666666667</v>
      </c>
      <c r="I170" s="223">
        <f t="shared" si="7"/>
        <v>0.41979166666666667</v>
      </c>
      <c r="J170" s="195"/>
      <c r="K170" s="195"/>
      <c r="L170" s="401"/>
      <c r="M170" s="195"/>
      <c r="N170" s="195"/>
      <c r="O170" s="195"/>
      <c r="P170" s="49"/>
      <c r="Q170" s="49"/>
      <c r="R170" s="49"/>
      <c r="S170" s="49"/>
      <c r="T170" s="49"/>
      <c r="U170" s="49"/>
      <c r="V170" s="49"/>
      <c r="W170" s="49"/>
      <c r="X170" s="49"/>
    </row>
    <row r="171" spans="2:24" s="177" customFormat="1" ht="14.4" x14ac:dyDescent="0.3">
      <c r="B171" s="195"/>
      <c r="C171" s="400"/>
      <c r="D171" s="195"/>
      <c r="E171" s="195"/>
      <c r="F171" s="195"/>
      <c r="G171" s="195"/>
      <c r="H171" s="195"/>
      <c r="I171" s="195"/>
      <c r="J171" s="195"/>
      <c r="K171" s="195"/>
      <c r="L171" s="401"/>
      <c r="M171" s="195"/>
      <c r="N171" s="195"/>
      <c r="O171" s="195"/>
      <c r="P171" s="49"/>
      <c r="Q171" s="49"/>
      <c r="R171" s="49"/>
      <c r="S171" s="49"/>
      <c r="T171" s="49"/>
      <c r="U171" s="49"/>
      <c r="V171" s="49"/>
      <c r="W171" s="49"/>
      <c r="X171" s="49"/>
    </row>
    <row r="172" spans="2:24" s="177" customFormat="1" ht="14.4" x14ac:dyDescent="0.3">
      <c r="B172" s="49"/>
      <c r="C172" s="247"/>
      <c r="D172" s="49"/>
      <c r="E172" s="49"/>
      <c r="F172" s="49"/>
      <c r="G172" s="49"/>
      <c r="H172" s="49"/>
      <c r="I172" s="49"/>
      <c r="J172" s="49"/>
      <c r="K172" s="49"/>
      <c r="L172" s="248"/>
      <c r="M172" s="49"/>
      <c r="N172" s="195"/>
      <c r="O172" s="195"/>
      <c r="P172" s="49"/>
      <c r="Q172" s="49"/>
      <c r="R172" s="49"/>
      <c r="S172" s="49"/>
      <c r="T172" s="49"/>
      <c r="U172" s="49"/>
      <c r="V172" s="49"/>
      <c r="W172" s="49"/>
      <c r="X172" s="49"/>
    </row>
    <row r="173" spans="2:24" s="177" customFormat="1" ht="15" thickBot="1" x14ac:dyDescent="0.35">
      <c r="B173" s="195"/>
      <c r="C173" s="400"/>
      <c r="D173" s="195"/>
      <c r="E173" s="195"/>
      <c r="F173" s="195"/>
      <c r="G173" s="195"/>
      <c r="H173" s="195"/>
      <c r="I173" s="195"/>
      <c r="J173" s="195"/>
      <c r="K173" s="195"/>
      <c r="L173" s="401"/>
      <c r="M173" s="195"/>
      <c r="N173" s="195"/>
      <c r="O173" s="195"/>
      <c r="P173" s="49"/>
      <c r="Q173" s="49"/>
      <c r="R173" s="49"/>
      <c r="S173" s="49"/>
      <c r="T173" s="49"/>
      <c r="U173" s="49"/>
      <c r="V173" s="49"/>
      <c r="W173" s="49"/>
      <c r="X173" s="49"/>
    </row>
    <row r="174" spans="2:24" s="177" customFormat="1" ht="14.4" x14ac:dyDescent="0.3">
      <c r="B174" s="195"/>
      <c r="C174" s="400"/>
      <c r="D174" s="195"/>
      <c r="E174" s="195"/>
      <c r="F174" s="195"/>
      <c r="G174" s="563" t="s">
        <v>240</v>
      </c>
      <c r="H174" s="564"/>
      <c r="I174" s="564"/>
      <c r="J174" s="564"/>
      <c r="K174" s="565"/>
      <c r="L174" s="401"/>
      <c r="M174" s="195"/>
      <c r="N174" s="195"/>
      <c r="O174" s="195"/>
      <c r="P174" s="49"/>
      <c r="Q174" s="49"/>
      <c r="R174" s="49"/>
      <c r="S174" s="49"/>
      <c r="T174" s="49"/>
      <c r="U174" s="49"/>
      <c r="V174" s="49"/>
      <c r="W174" s="49"/>
      <c r="X174" s="49"/>
    </row>
    <row r="175" spans="2:24" s="177" customFormat="1" ht="14.4" x14ac:dyDescent="0.3">
      <c r="B175" s="195"/>
      <c r="C175" s="400"/>
      <c r="D175" s="195"/>
      <c r="E175" s="195"/>
      <c r="F175" s="195"/>
      <c r="G175" s="202" t="s">
        <v>55</v>
      </c>
      <c r="H175" s="224" t="s">
        <v>241</v>
      </c>
      <c r="I175" s="224" t="s">
        <v>242</v>
      </c>
      <c r="J175" s="224" t="s">
        <v>243</v>
      </c>
      <c r="K175" s="198" t="s">
        <v>244</v>
      </c>
      <c r="L175" s="401"/>
      <c r="M175" s="195"/>
      <c r="N175" s="195"/>
      <c r="O175" s="195"/>
      <c r="P175" s="49"/>
      <c r="Q175" s="49"/>
      <c r="R175" s="49"/>
      <c r="S175" s="49"/>
      <c r="T175" s="49"/>
      <c r="U175" s="49"/>
      <c r="V175" s="49"/>
      <c r="W175" s="49"/>
      <c r="X175" s="49"/>
    </row>
    <row r="176" spans="2:24" s="177" customFormat="1" ht="15" thickBot="1" x14ac:dyDescent="0.35">
      <c r="B176" s="195"/>
      <c r="C176" s="400"/>
      <c r="D176" s="195"/>
      <c r="E176" s="195"/>
      <c r="F176" s="195"/>
      <c r="G176" s="233" t="s">
        <v>56</v>
      </c>
      <c r="H176" s="226">
        <f>IFERROR(VLOOKUP($G$176,FabricMapping!$F$39:$J$43,4,FALSE),0)</f>
        <v>4</v>
      </c>
      <c r="I176" s="226">
        <f>IFERROR(VLOOKUP($G$176,FabricMapping!$F$39:$J$43,5,FALSE),0)</f>
        <v>60</v>
      </c>
      <c r="J176" s="226">
        <f>IFERROR((FabricMapping!$U$31*2)/$H$176,0)</f>
        <v>32</v>
      </c>
      <c r="K176" s="227">
        <f>J176*H176</f>
        <v>128</v>
      </c>
      <c r="L176" s="401"/>
      <c r="M176" s="195"/>
      <c r="N176" s="228"/>
      <c r="O176" s="195"/>
      <c r="P176" s="49"/>
      <c r="Q176" s="49"/>
      <c r="R176" s="49"/>
      <c r="S176" s="49"/>
      <c r="T176" s="49"/>
      <c r="U176" s="49"/>
      <c r="V176" s="49"/>
      <c r="W176" s="49"/>
      <c r="X176" s="49"/>
    </row>
    <row r="177" spans="2:24" s="177" customFormat="1" ht="14.4" x14ac:dyDescent="0.3">
      <c r="B177" s="195"/>
      <c r="C177" s="400"/>
      <c r="D177" s="195"/>
      <c r="E177" s="195"/>
      <c r="F177" s="195"/>
      <c r="G177" s="195"/>
      <c r="H177" s="195"/>
      <c r="I177" s="195"/>
      <c r="J177" s="195"/>
      <c r="K177" s="195"/>
      <c r="L177" s="401"/>
      <c r="M177" s="195"/>
      <c r="N177" s="195"/>
      <c r="O177" s="195"/>
      <c r="P177" s="49"/>
      <c r="Q177" s="49"/>
      <c r="R177" s="49"/>
      <c r="S177" s="49"/>
      <c r="T177" s="49"/>
      <c r="U177" s="49"/>
      <c r="V177" s="49"/>
      <c r="W177" s="49"/>
      <c r="X177" s="49"/>
    </row>
    <row r="178" spans="2:24" s="177" customFormat="1" ht="15" thickBot="1" x14ac:dyDescent="0.35">
      <c r="B178" s="195"/>
      <c r="C178" s="400"/>
      <c r="D178" s="195"/>
      <c r="E178" s="195"/>
      <c r="F178" s="195"/>
      <c r="G178" s="195"/>
      <c r="H178" s="195"/>
      <c r="I178" s="195"/>
      <c r="J178" s="195"/>
      <c r="K178" s="195"/>
      <c r="L178" s="401"/>
      <c r="M178" s="195"/>
      <c r="N178" s="195"/>
      <c r="O178" s="195"/>
      <c r="P178" s="49"/>
      <c r="Q178" s="49"/>
      <c r="R178" s="49"/>
      <c r="S178" s="49"/>
      <c r="T178" s="49"/>
      <c r="U178" s="49"/>
      <c r="V178" s="49"/>
      <c r="W178" s="49"/>
      <c r="X178" s="49"/>
    </row>
    <row r="179" spans="2:24" s="177" customFormat="1" ht="18.75" customHeight="1" thickBot="1" x14ac:dyDescent="0.35">
      <c r="B179" s="195"/>
      <c r="C179" s="400"/>
      <c r="D179" s="195"/>
      <c r="E179" s="562" t="s">
        <v>267</v>
      </c>
      <c r="F179" s="195"/>
      <c r="G179" s="563" t="str">
        <f>"Gold Zone - Data Engineering ("&amp;G176&amp;" Spark Cluster)"</f>
        <v>Gold Zone - Data Engineering (Medium (8 vCore, 64 Mem) Spark Cluster)</v>
      </c>
      <c r="H179" s="564"/>
      <c r="I179" s="564"/>
      <c r="J179" s="564"/>
      <c r="K179" s="565"/>
      <c r="L179" s="401"/>
      <c r="M179" s="195"/>
      <c r="N179" s="195"/>
      <c r="O179" s="195"/>
      <c r="P179" s="49"/>
      <c r="Q179" s="49"/>
      <c r="R179" s="49"/>
      <c r="S179" s="49"/>
      <c r="T179" s="49"/>
      <c r="U179" s="49"/>
      <c r="V179" s="49"/>
      <c r="W179" s="49"/>
      <c r="X179" s="49"/>
    </row>
    <row r="180" spans="2:24" s="177" customFormat="1" ht="15" thickBot="1" x14ac:dyDescent="0.35">
      <c r="B180" s="195"/>
      <c r="C180" s="400"/>
      <c r="D180" s="195"/>
      <c r="E180" s="562"/>
      <c r="F180" s="195"/>
      <c r="G180" s="241" t="s">
        <v>254</v>
      </c>
      <c r="H180" s="242">
        <f>MAX(12,ROUNDUP($G$6/8,0))</f>
        <v>125</v>
      </c>
      <c r="I180" s="243"/>
      <c r="J180" s="243"/>
      <c r="K180" s="244"/>
      <c r="L180" s="401"/>
      <c r="M180" s="195"/>
      <c r="N180" s="195"/>
      <c r="O180" s="195"/>
      <c r="P180" s="49"/>
      <c r="Q180" s="49"/>
      <c r="R180" s="49"/>
      <c r="S180" s="49"/>
      <c r="T180" s="49"/>
      <c r="U180" s="49"/>
      <c r="V180" s="49"/>
      <c r="W180" s="49"/>
      <c r="X180" s="49"/>
    </row>
    <row r="181" spans="2:24" s="177" customFormat="1" ht="14.4" x14ac:dyDescent="0.3">
      <c r="B181" s="195"/>
      <c r="C181" s="400"/>
      <c r="D181" s="195"/>
      <c r="E181" s="562"/>
      <c r="F181" s="195"/>
      <c r="G181" s="205" t="s">
        <v>268</v>
      </c>
      <c r="H181" s="224" t="s">
        <v>246</v>
      </c>
      <c r="I181" s="224" t="s">
        <v>258</v>
      </c>
      <c r="J181" s="567" t="s">
        <v>269</v>
      </c>
      <c r="K181" s="568"/>
      <c r="L181" s="401"/>
      <c r="M181" s="195"/>
      <c r="N181" s="195"/>
      <c r="O181" s="195"/>
      <c r="P181" s="49"/>
      <c r="Q181" s="49"/>
      <c r="R181" s="49"/>
      <c r="S181" s="49"/>
      <c r="T181" s="49"/>
      <c r="U181" s="49"/>
      <c r="V181" s="49"/>
      <c r="W181" s="49"/>
      <c r="X181" s="49"/>
    </row>
    <row r="182" spans="2:24" s="177" customFormat="1" ht="15" thickBot="1" x14ac:dyDescent="0.35">
      <c r="B182" s="195"/>
      <c r="C182" s="400"/>
      <c r="D182" s="195"/>
      <c r="E182" s="562"/>
      <c r="F182" s="195"/>
      <c r="G182" s="237">
        <f>$G$5</f>
        <v>1</v>
      </c>
      <c r="H182" s="226">
        <f>IFERROR(ROUNDUP((($K$46/$H$180)/$I$176),0)+1,0)</f>
        <v>2</v>
      </c>
      <c r="I182" s="226">
        <f>(K46/1000)*2.5</f>
        <v>13.5</v>
      </c>
      <c r="J182" s="570">
        <f>SUM(J184:K186)*G182</f>
        <v>1197</v>
      </c>
      <c r="K182" s="571"/>
      <c r="L182" s="401"/>
      <c r="M182" s="195"/>
      <c r="N182" s="228"/>
      <c r="O182" s="195"/>
      <c r="P182" s="49"/>
      <c r="Q182" s="49"/>
      <c r="R182" s="49"/>
      <c r="S182" s="49"/>
      <c r="T182" s="49"/>
      <c r="U182" s="49"/>
      <c r="V182" s="49"/>
      <c r="W182" s="49"/>
      <c r="X182" s="49"/>
    </row>
    <row r="183" spans="2:24" s="177" customFormat="1" ht="14.4" x14ac:dyDescent="0.3">
      <c r="B183" s="195"/>
      <c r="C183" s="400"/>
      <c r="D183" s="195"/>
      <c r="E183" s="562"/>
      <c r="F183" s="195"/>
      <c r="G183" s="205" t="s">
        <v>270</v>
      </c>
      <c r="H183" s="224" t="s">
        <v>260</v>
      </c>
      <c r="I183" s="249" t="s">
        <v>271</v>
      </c>
      <c r="J183" s="577" t="s">
        <v>248</v>
      </c>
      <c r="K183" s="578"/>
      <c r="L183" s="401"/>
      <c r="M183" s="195"/>
      <c r="N183" s="195"/>
      <c r="O183" s="195"/>
      <c r="P183" s="49"/>
      <c r="Q183" s="49"/>
      <c r="R183" s="49"/>
      <c r="S183" s="49"/>
      <c r="T183" s="49"/>
      <c r="U183" s="49"/>
      <c r="V183" s="49"/>
      <c r="W183" s="49"/>
      <c r="X183" s="49"/>
    </row>
    <row r="184" spans="2:24" s="177" customFormat="1" ht="14.4" x14ac:dyDescent="0.3">
      <c r="B184" s="195"/>
      <c r="C184" s="400"/>
      <c r="D184" s="195"/>
      <c r="E184" s="562"/>
      <c r="F184" s="195"/>
      <c r="G184" s="250" t="s">
        <v>262</v>
      </c>
      <c r="H184" s="419">
        <f>ROUNDUP(VLOOKUP($G184,FabricMapping!$F$28:$I$31,3,FALSE)*ROUNDUP($H$180,0),0)+IF(UserInputs!$D$4="Data Lakehouse",0,$G$6)</f>
        <v>107</v>
      </c>
      <c r="I184" s="251">
        <f>($I$182/(H184))+0.35</f>
        <v>0.47616822429906536</v>
      </c>
      <c r="J184" s="579">
        <f>ROUNDUP(H184*I184*(($H$182*VLOOKUP(G184,FabricMapping!$F$28:$N$31,7,FALSE))*$H$176),0)</f>
        <v>408</v>
      </c>
      <c r="K184" s="580"/>
      <c r="L184" s="401"/>
      <c r="M184" s="195"/>
      <c r="N184" s="228"/>
      <c r="O184" s="195"/>
      <c r="P184" s="49"/>
      <c r="Q184" s="49"/>
      <c r="R184" s="49"/>
      <c r="S184" s="49"/>
      <c r="T184" s="49"/>
      <c r="U184" s="49"/>
      <c r="V184" s="49"/>
      <c r="W184" s="49"/>
      <c r="X184" s="49"/>
    </row>
    <row r="185" spans="2:24" s="177" customFormat="1" ht="14.4" x14ac:dyDescent="0.3">
      <c r="B185" s="195"/>
      <c r="C185" s="400"/>
      <c r="D185" s="195"/>
      <c r="E185" s="562"/>
      <c r="F185" s="195"/>
      <c r="G185" s="250" t="s">
        <v>263</v>
      </c>
      <c r="H185" s="419">
        <f>ROUNDUP(VLOOKUP($G185,FabricMapping!$F$28:$I$31,3,FALSE)*ROUNDUP($H$180,0),0)</f>
        <v>13</v>
      </c>
      <c r="I185" s="251">
        <f>($I$182/(H185))+0.35</f>
        <v>1.3884615384615384</v>
      </c>
      <c r="J185" s="579">
        <f>ROUNDUP(H185*I185*(($H$182*VLOOKUP(G185,FabricMapping!$F$28:$N$31,7,FALSE))*$H$176),0)</f>
        <v>289</v>
      </c>
      <c r="K185" s="580"/>
      <c r="L185" s="401"/>
      <c r="M185" s="195"/>
      <c r="N185" s="228"/>
      <c r="O185" s="195"/>
      <c r="P185" s="49"/>
      <c r="Q185" s="49"/>
      <c r="R185" s="49"/>
      <c r="S185" s="49"/>
      <c r="T185" s="49"/>
      <c r="U185" s="49"/>
      <c r="V185" s="49"/>
      <c r="W185" s="49"/>
      <c r="X185" s="49"/>
    </row>
    <row r="186" spans="2:24" s="177" customFormat="1" ht="15" thickBot="1" x14ac:dyDescent="0.35">
      <c r="B186" s="195"/>
      <c r="C186" s="400"/>
      <c r="D186" s="195"/>
      <c r="E186" s="562"/>
      <c r="F186" s="195"/>
      <c r="G186" s="237" t="s">
        <v>264</v>
      </c>
      <c r="H186" s="422">
        <f>ROUNDUP(VLOOKUP($G186,FabricMapping!$F$28:$I$31,3,FALSE)*ROUNDUP($H$180,0),0)</f>
        <v>7</v>
      </c>
      <c r="I186" s="252">
        <f>($I$182/(H186))+0.3</f>
        <v>2.2285714285714286</v>
      </c>
      <c r="J186" s="570">
        <f>ROUNDUP(H186*I186*(($H$182*VLOOKUP(G186,FabricMapping!$F$28:$N$31,7,FALSE))*$H$176),0)</f>
        <v>500</v>
      </c>
      <c r="K186" s="571"/>
      <c r="L186" s="401"/>
      <c r="M186" s="195"/>
      <c r="N186" s="228"/>
      <c r="O186" s="195"/>
      <c r="P186" s="49"/>
      <c r="Q186" s="49"/>
      <c r="R186" s="49"/>
      <c r="S186" s="49"/>
      <c r="T186" s="49"/>
      <c r="U186" s="49"/>
      <c r="V186" s="49"/>
      <c r="W186" s="49"/>
      <c r="X186" s="49"/>
    </row>
    <row r="187" spans="2:24" s="177" customFormat="1" ht="14.4" x14ac:dyDescent="0.3">
      <c r="B187" s="195"/>
      <c r="C187" s="400"/>
      <c r="D187" s="195"/>
      <c r="E187" s="562"/>
      <c r="F187" s="195"/>
      <c r="G187" s="195"/>
      <c r="H187" s="195"/>
      <c r="I187" s="195"/>
      <c r="J187" s="195"/>
      <c r="K187" s="195"/>
      <c r="L187" s="401"/>
      <c r="M187" s="195"/>
      <c r="N187" s="195"/>
      <c r="O187" s="195"/>
      <c r="P187" s="49"/>
      <c r="Q187" s="49"/>
      <c r="R187" s="49"/>
      <c r="S187" s="49"/>
      <c r="T187" s="49"/>
      <c r="U187" s="49"/>
      <c r="V187" s="49"/>
      <c r="W187" s="49"/>
      <c r="X187" s="49"/>
    </row>
    <row r="188" spans="2:24" s="177" customFormat="1" ht="14.4" x14ac:dyDescent="0.3">
      <c r="B188" s="195"/>
      <c r="C188" s="400"/>
      <c r="D188" s="195"/>
      <c r="E188" s="562"/>
      <c r="F188" s="195"/>
      <c r="G188" s="481" t="s">
        <v>205</v>
      </c>
      <c r="H188" s="482" t="s">
        <v>236</v>
      </c>
      <c r="I188" s="482" t="s">
        <v>237</v>
      </c>
      <c r="J188" s="482" t="s">
        <v>238</v>
      </c>
      <c r="K188" s="483" t="s">
        <v>209</v>
      </c>
      <c r="L188" s="401"/>
      <c r="M188" s="195"/>
      <c r="N188" s="195"/>
      <c r="O188" s="195"/>
      <c r="P188" s="49"/>
      <c r="Q188" s="49"/>
      <c r="R188" s="49"/>
      <c r="S188" s="49"/>
      <c r="T188" s="49"/>
      <c r="U188" s="49"/>
      <c r="V188" s="49"/>
      <c r="W188" s="49"/>
      <c r="X188" s="49"/>
    </row>
    <row r="189" spans="2:24" s="177" customFormat="1" ht="14.4" x14ac:dyDescent="0.3">
      <c r="B189" s="195"/>
      <c r="C189" s="400"/>
      <c r="D189" s="195"/>
      <c r="E189" s="562"/>
      <c r="F189" s="195"/>
      <c r="G189" s="484">
        <f>ROUNDUP((((((LEFT($G$8,LEN($G$8)-2)*1024)/SUM($H$184:$H$186)))/4)*SUM($H$184:$H$186)*$G$5)*FabricMapping!$AR$61,0)</f>
        <v>1</v>
      </c>
      <c r="H189" s="485">
        <f>ROUNDUP((((((LEFT($G$8,LEN($G$8)-2)*1024)/SUM($H$184:$H$186)))/4)*SUM($H$184:$H$186)*$G$5)*FabricMapping!$AR$62,0)</f>
        <v>7</v>
      </c>
      <c r="I189" s="485">
        <f>ROUNDUP((SUM($H$184:$H$186)*$G$5)*FabricMapping!$AR$63,0)</f>
        <v>1</v>
      </c>
      <c r="J189" s="485">
        <f>ROUNDUP((SUM($H$184:$H$186)*$G$5)*FabricMapping!$AR$64,0)</f>
        <v>3</v>
      </c>
      <c r="K189" s="486">
        <f>SUM(G189:J189)</f>
        <v>12</v>
      </c>
      <c r="L189" s="401"/>
      <c r="M189" s="195"/>
      <c r="N189" s="195"/>
      <c r="O189" s="195"/>
      <c r="P189" s="49"/>
      <c r="Q189" s="49"/>
      <c r="R189" s="49"/>
      <c r="S189" s="49"/>
      <c r="T189" s="49"/>
      <c r="U189" s="49"/>
      <c r="V189" s="49"/>
      <c r="W189" s="49"/>
      <c r="X189" s="49"/>
    </row>
    <row r="190" spans="2:24" s="177" customFormat="1" ht="14.4" x14ac:dyDescent="0.3">
      <c r="B190" s="195"/>
      <c r="C190" s="400"/>
      <c r="D190" s="195"/>
      <c r="E190" s="195"/>
      <c r="F190" s="195"/>
      <c r="G190" s="195"/>
      <c r="H190" s="195"/>
      <c r="I190" s="195"/>
      <c r="J190" s="195"/>
      <c r="K190" s="195"/>
      <c r="L190" s="401"/>
      <c r="M190" s="195"/>
      <c r="N190" s="195"/>
      <c r="O190" s="195"/>
      <c r="P190" s="49"/>
      <c r="Q190" s="49"/>
      <c r="R190" s="49"/>
      <c r="S190" s="49"/>
      <c r="T190" s="49"/>
      <c r="U190" s="49"/>
      <c r="V190" s="49"/>
      <c r="W190" s="49"/>
      <c r="X190" s="49"/>
    </row>
    <row r="191" spans="2:24" s="177" customFormat="1" ht="15" thickBot="1" x14ac:dyDescent="0.35">
      <c r="B191" s="195"/>
      <c r="C191" s="400"/>
      <c r="D191" s="195"/>
      <c r="E191" s="195"/>
      <c r="F191" s="195"/>
      <c r="G191" s="195"/>
      <c r="H191" s="195"/>
      <c r="I191" s="195"/>
      <c r="J191" s="195"/>
      <c r="K191" s="195"/>
      <c r="L191" s="401"/>
      <c r="M191" s="195"/>
      <c r="N191" s="195"/>
      <c r="O191" s="195"/>
      <c r="P191" s="49"/>
      <c r="Q191" s="49"/>
      <c r="R191" s="49"/>
      <c r="S191" s="49"/>
      <c r="T191" s="49"/>
      <c r="U191" s="49"/>
      <c r="V191" s="49"/>
      <c r="W191" s="49"/>
      <c r="X191" s="49"/>
    </row>
    <row r="192" spans="2:24" s="177" customFormat="1" ht="28.8" x14ac:dyDescent="0.3">
      <c r="B192" s="195"/>
      <c r="C192" s="400"/>
      <c r="D192" s="195"/>
      <c r="E192" s="195"/>
      <c r="F192" s="195"/>
      <c r="G192" s="216" t="s">
        <v>222</v>
      </c>
      <c r="H192" s="216" t="s">
        <v>223</v>
      </c>
      <c r="I192" s="216" t="s">
        <v>224</v>
      </c>
      <c r="J192" s="195"/>
      <c r="K192" s="195"/>
      <c r="L192" s="401"/>
      <c r="M192" s="195"/>
      <c r="N192" s="195"/>
      <c r="O192" s="195"/>
      <c r="P192" s="49"/>
      <c r="Q192" s="49"/>
      <c r="R192" s="49"/>
      <c r="S192" s="49"/>
      <c r="T192" s="49"/>
      <c r="U192" s="49"/>
      <c r="V192" s="49"/>
      <c r="W192" s="49"/>
      <c r="X192" s="49"/>
    </row>
    <row r="193" spans="1:24" s="177" customFormat="1" ht="14.4" x14ac:dyDescent="0.3">
      <c r="A193" s="195"/>
      <c r="B193" s="195"/>
      <c r="C193" s="400"/>
      <c r="D193" s="195"/>
      <c r="E193" s="217" t="s">
        <v>272</v>
      </c>
      <c r="F193" s="49"/>
      <c r="G193" s="218">
        <f>J203</f>
        <v>3840</v>
      </c>
      <c r="H193" s="218">
        <f>G193*$G$3</f>
        <v>107520</v>
      </c>
      <c r="I193" s="218">
        <f>H193*52/12</f>
        <v>465920</v>
      </c>
      <c r="J193" s="195"/>
      <c r="K193" s="195"/>
      <c r="L193" s="401"/>
      <c r="M193" s="195"/>
      <c r="N193" s="195"/>
      <c r="O193" s="195"/>
      <c r="P193" s="49"/>
      <c r="Q193" s="49"/>
      <c r="R193" s="49"/>
      <c r="S193" s="49"/>
      <c r="T193" s="49"/>
      <c r="U193" s="49"/>
      <c r="V193" s="49"/>
      <c r="W193" s="49"/>
      <c r="X193" s="49"/>
    </row>
    <row r="194" spans="1:24" s="177" customFormat="1" ht="14.4" x14ac:dyDescent="0.3">
      <c r="A194" s="195"/>
      <c r="B194" s="195"/>
      <c r="C194" s="400"/>
      <c r="D194" s="195"/>
      <c r="E194" s="219" t="s">
        <v>225</v>
      </c>
      <c r="F194" s="49"/>
      <c r="G194" s="220" t="str">
        <f>VLOOKUP(G193,FabricMapping!$C$11:$F$21,4,1)</f>
        <v>F4</v>
      </c>
      <c r="H194" s="220" t="str">
        <f>VLOOKUP(H193,FabricMapping!$D$11:$F$21,3,1)</f>
        <v>F16</v>
      </c>
      <c r="I194" s="220" t="str">
        <f>VLOOKUP(I193,FabricMapping!$E$11:$F$21,2,1)</f>
        <v>F16</v>
      </c>
      <c r="J194" s="195"/>
      <c r="K194" s="195"/>
      <c r="L194" s="401"/>
      <c r="M194" s="195"/>
      <c r="N194" s="195"/>
      <c r="O194" s="195"/>
      <c r="P194" s="49"/>
      <c r="Q194" s="49"/>
      <c r="R194" s="49"/>
      <c r="S194" s="49"/>
      <c r="T194" s="49"/>
      <c r="U194" s="49"/>
      <c r="V194" s="49"/>
      <c r="W194" s="49"/>
      <c r="X194" s="49"/>
    </row>
    <row r="195" spans="1:24" s="177" customFormat="1" ht="14.4" x14ac:dyDescent="0.3">
      <c r="A195" s="195"/>
      <c r="B195" s="195"/>
      <c r="C195" s="400"/>
      <c r="D195" s="195"/>
      <c r="E195" s="219" t="s">
        <v>226</v>
      </c>
      <c r="F195" s="49"/>
      <c r="G195" s="218">
        <f>VLOOKUP(G194,FabricMapping!$F$10:$J$21,3,0)</f>
        <v>5760</v>
      </c>
      <c r="H195" s="218">
        <f>VLOOKUP(H194,FabricMapping!$F$10:$J$21,4,0)</f>
        <v>161280</v>
      </c>
      <c r="I195" s="218">
        <f>VLOOKUP(I194,FabricMapping!$F$10:$J$21,5,0)</f>
        <v>698880</v>
      </c>
      <c r="J195" s="195"/>
      <c r="K195" s="195"/>
      <c r="L195" s="401"/>
      <c r="M195" s="195"/>
      <c r="N195" s="195"/>
      <c r="O195" s="195"/>
      <c r="P195" s="49"/>
      <c r="Q195" s="49"/>
      <c r="R195" s="49"/>
      <c r="S195" s="49"/>
      <c r="T195" s="49"/>
      <c r="U195" s="49"/>
      <c r="V195" s="49"/>
      <c r="W195" s="49"/>
      <c r="X195" s="49"/>
    </row>
    <row r="196" spans="1:24" s="177" customFormat="1" ht="18" hidden="1" x14ac:dyDescent="0.35">
      <c r="A196" s="195"/>
      <c r="B196" s="221"/>
      <c r="C196" s="400"/>
      <c r="D196" s="195"/>
      <c r="E196" s="219" t="s">
        <v>227</v>
      </c>
      <c r="F196" s="49"/>
      <c r="G196" s="222">
        <f>G195*Cost_Setup!$F$7/60</f>
        <v>17.279999999999998</v>
      </c>
      <c r="H196" s="222">
        <f>H195*Cost_Setup!$F$7/60</f>
        <v>483.84</v>
      </c>
      <c r="I196" s="222">
        <f>I195*Cost_Setup!$F$7/60</f>
        <v>2096.64</v>
      </c>
      <c r="J196" s="195"/>
      <c r="K196" s="195"/>
      <c r="L196" s="401"/>
      <c r="M196" s="195"/>
      <c r="N196" s="195"/>
      <c r="O196" s="195"/>
      <c r="P196" s="49"/>
      <c r="Q196" s="49"/>
      <c r="R196" s="49"/>
      <c r="S196" s="49"/>
      <c r="T196" s="49"/>
      <c r="U196" s="49"/>
      <c r="V196" s="49"/>
      <c r="W196" s="49"/>
      <c r="X196" s="49"/>
    </row>
    <row r="197" spans="1:24" s="177" customFormat="1" ht="14.4" x14ac:dyDescent="0.3">
      <c r="A197" s="195"/>
      <c r="B197" s="195"/>
      <c r="C197" s="400"/>
      <c r="D197" s="195"/>
      <c r="E197" s="219" t="s">
        <v>228</v>
      </c>
      <c r="F197" s="49"/>
      <c r="G197" s="223">
        <f>G193/G195</f>
        <v>0.66666666666666663</v>
      </c>
      <c r="H197" s="223">
        <f t="shared" ref="H197:I197" si="8">H193/H195</f>
        <v>0.66666666666666663</v>
      </c>
      <c r="I197" s="223">
        <f t="shared" si="8"/>
        <v>0.66666666666666663</v>
      </c>
      <c r="J197" s="195"/>
      <c r="K197" s="195"/>
      <c r="L197" s="401"/>
      <c r="M197" s="195"/>
      <c r="N197" s="195"/>
      <c r="O197" s="195"/>
      <c r="P197" s="49"/>
      <c r="Q197" s="49"/>
      <c r="R197" s="49"/>
      <c r="S197" s="49"/>
      <c r="T197" s="49"/>
      <c r="U197" s="49"/>
      <c r="V197" s="49"/>
      <c r="W197" s="49"/>
      <c r="X197" s="49"/>
    </row>
    <row r="198" spans="1:24" s="177" customFormat="1" ht="14.4" x14ac:dyDescent="0.3">
      <c r="A198" s="195"/>
      <c r="B198" s="195"/>
      <c r="C198" s="400"/>
      <c r="D198" s="195"/>
      <c r="E198" s="195"/>
      <c r="F198" s="195"/>
      <c r="G198" s="195"/>
      <c r="H198" s="195"/>
      <c r="I198" s="195"/>
      <c r="J198" s="195"/>
      <c r="K198" s="195"/>
      <c r="L198" s="401"/>
      <c r="M198" s="195"/>
      <c r="N198" s="195"/>
      <c r="O198" s="195"/>
      <c r="P198" s="49"/>
      <c r="Q198" s="49"/>
      <c r="R198" s="49"/>
      <c r="S198" s="49"/>
      <c r="T198" s="49"/>
      <c r="U198" s="49"/>
      <c r="V198" s="49"/>
      <c r="W198" s="49"/>
      <c r="X198" s="49"/>
    </row>
    <row r="199" spans="1:24" s="177" customFormat="1" ht="14.4" x14ac:dyDescent="0.3">
      <c r="A199" s="195"/>
      <c r="B199" s="195"/>
      <c r="C199" s="400"/>
      <c r="D199" s="195"/>
      <c r="E199" s="195"/>
      <c r="F199" s="195"/>
      <c r="G199" s="195"/>
      <c r="H199" s="195"/>
      <c r="I199" s="195"/>
      <c r="J199" s="195"/>
      <c r="K199" s="195"/>
      <c r="L199" s="401"/>
      <c r="M199" s="195"/>
      <c r="N199" s="195"/>
      <c r="O199" s="195"/>
      <c r="P199" s="49"/>
      <c r="Q199" s="49"/>
      <c r="R199" s="49"/>
      <c r="S199" s="49"/>
      <c r="T199" s="49"/>
      <c r="U199" s="49"/>
      <c r="V199" s="49"/>
      <c r="W199" s="49"/>
      <c r="X199" s="49"/>
    </row>
    <row r="200" spans="1:24" s="177" customFormat="1" ht="15" thickBot="1" x14ac:dyDescent="0.35">
      <c r="A200" s="195"/>
      <c r="B200" s="195"/>
      <c r="C200" s="400"/>
      <c r="D200" s="195"/>
      <c r="E200" s="195"/>
      <c r="F200" s="195"/>
      <c r="G200" s="195"/>
      <c r="H200" s="195"/>
      <c r="I200" s="195"/>
      <c r="J200" s="195"/>
      <c r="K200" s="195"/>
      <c r="L200" s="401"/>
      <c r="M200" s="195"/>
      <c r="N200" s="195"/>
      <c r="O200" s="195"/>
      <c r="P200" s="49"/>
      <c r="Q200" s="49"/>
      <c r="R200" s="49"/>
      <c r="S200" s="49"/>
      <c r="T200" s="49"/>
      <c r="U200" s="49"/>
      <c r="V200" s="49"/>
      <c r="W200" s="49"/>
      <c r="X200" s="49"/>
    </row>
    <row r="201" spans="1:24" s="177" customFormat="1" ht="14.4" x14ac:dyDescent="0.3">
      <c r="A201" s="195"/>
      <c r="B201" s="195"/>
      <c r="C201" s="400"/>
      <c r="D201" s="195"/>
      <c r="E201" s="562" t="s">
        <v>273</v>
      </c>
      <c r="F201" s="195"/>
      <c r="G201" s="563" t="s">
        <v>274</v>
      </c>
      <c r="H201" s="564"/>
      <c r="I201" s="564"/>
      <c r="J201" s="564"/>
      <c r="K201" s="565"/>
      <c r="L201" s="401"/>
      <c r="M201" s="195"/>
      <c r="N201" s="195"/>
      <c r="O201" s="195"/>
      <c r="P201" s="49"/>
      <c r="Q201" s="49"/>
      <c r="R201" s="49"/>
      <c r="S201" s="49"/>
      <c r="T201" s="49"/>
      <c r="U201" s="49"/>
      <c r="V201" s="49"/>
      <c r="W201" s="49"/>
      <c r="X201" s="49"/>
    </row>
    <row r="202" spans="1:24" s="177" customFormat="1" ht="14.4" x14ac:dyDescent="0.3">
      <c r="A202" s="195"/>
      <c r="B202" s="195"/>
      <c r="C202" s="400"/>
      <c r="D202" s="195"/>
      <c r="E202" s="562"/>
      <c r="F202" s="195"/>
      <c r="G202" s="584" t="s">
        <v>275</v>
      </c>
      <c r="H202" s="585"/>
      <c r="I202" s="414" t="s">
        <v>258</v>
      </c>
      <c r="J202" s="585" t="s">
        <v>248</v>
      </c>
      <c r="K202" s="586"/>
      <c r="L202" s="401"/>
      <c r="M202" s="195"/>
      <c r="N202" s="195"/>
      <c r="O202" s="195"/>
      <c r="P202" s="49"/>
      <c r="Q202" s="49"/>
      <c r="R202" s="49"/>
      <c r="S202" s="49"/>
      <c r="T202" s="49"/>
      <c r="U202" s="49"/>
      <c r="V202" s="49"/>
      <c r="W202" s="49"/>
      <c r="X202" s="49"/>
    </row>
    <row r="203" spans="1:24" s="177" customFormat="1" ht="15" thickBot="1" x14ac:dyDescent="0.35">
      <c r="A203" s="195"/>
      <c r="B203" s="195"/>
      <c r="C203" s="400"/>
      <c r="D203" s="195"/>
      <c r="E203" s="562"/>
      <c r="F203" s="195"/>
      <c r="G203" s="583">
        <f>$G$20</f>
        <v>2</v>
      </c>
      <c r="H203" s="581"/>
      <c r="I203" s="424">
        <f>G19*60*0.25</f>
        <v>120</v>
      </c>
      <c r="J203" s="581">
        <f>($G$203*(2*FabricMapping!$AN$36))*$I$203</f>
        <v>3840</v>
      </c>
      <c r="K203" s="582"/>
      <c r="L203" s="401"/>
      <c r="M203" s="195"/>
      <c r="N203" s="228"/>
      <c r="O203" s="195"/>
      <c r="P203" s="49"/>
      <c r="Q203" s="49"/>
      <c r="R203" s="49"/>
      <c r="S203" s="49"/>
      <c r="T203" s="49"/>
      <c r="U203" s="49"/>
      <c r="V203" s="49"/>
      <c r="W203" s="49"/>
      <c r="X203" s="49"/>
    </row>
    <row r="204" spans="1:24" s="177" customFormat="1" ht="14.4" x14ac:dyDescent="0.3">
      <c r="A204" s="195"/>
      <c r="B204" s="195"/>
      <c r="C204" s="400"/>
      <c r="D204" s="195"/>
      <c r="E204" s="195"/>
      <c r="F204" s="195"/>
      <c r="G204" s="195"/>
      <c r="H204" s="195"/>
      <c r="I204" s="195"/>
      <c r="J204" s="195"/>
      <c r="K204" s="195"/>
      <c r="L204" s="401"/>
      <c r="M204" s="195"/>
      <c r="N204" s="195"/>
      <c r="O204" s="195"/>
      <c r="P204" s="49"/>
      <c r="Q204" s="49"/>
      <c r="R204" s="49"/>
      <c r="S204" s="49"/>
      <c r="T204" s="49"/>
      <c r="U204" s="49"/>
      <c r="V204" s="49"/>
      <c r="W204" s="49"/>
      <c r="X204" s="49"/>
    </row>
    <row r="205" spans="1:24" s="177" customFormat="1" ht="14.4" x14ac:dyDescent="0.3">
      <c r="A205" s="195"/>
      <c r="B205" s="195"/>
      <c r="C205" s="400"/>
      <c r="D205" s="195"/>
      <c r="E205" s="195"/>
      <c r="F205" s="195"/>
      <c r="G205" s="195"/>
      <c r="H205" s="195"/>
      <c r="I205" s="195"/>
      <c r="J205" s="195"/>
      <c r="K205" s="195"/>
      <c r="L205" s="401"/>
      <c r="M205" s="195"/>
      <c r="N205" s="195"/>
      <c r="O205" s="195"/>
      <c r="P205" s="49"/>
      <c r="Q205" s="49"/>
      <c r="R205" s="49"/>
      <c r="S205" s="49"/>
      <c r="T205" s="49"/>
      <c r="U205" s="49"/>
      <c r="V205" s="49"/>
      <c r="W205" s="49"/>
      <c r="X205" s="49"/>
    </row>
    <row r="206" spans="1:24" s="177" customFormat="1" ht="18.75" customHeight="1" thickBot="1" x14ac:dyDescent="0.35">
      <c r="A206" s="195"/>
      <c r="B206" s="195"/>
      <c r="C206" s="409"/>
      <c r="D206" s="408"/>
      <c r="E206" s="408"/>
      <c r="F206" s="408"/>
      <c r="G206" s="408"/>
      <c r="H206" s="408"/>
      <c r="I206" s="408"/>
      <c r="J206" s="408"/>
      <c r="K206" s="408"/>
      <c r="L206" s="410"/>
      <c r="M206" s="195"/>
      <c r="N206" s="195"/>
      <c r="O206" s="195"/>
      <c r="P206" s="49"/>
      <c r="Q206" s="49"/>
      <c r="R206" s="49"/>
      <c r="S206" s="49"/>
      <c r="T206" s="49"/>
      <c r="U206" s="49"/>
      <c r="V206" s="49"/>
      <c r="W206" s="49"/>
      <c r="X206" s="49"/>
    </row>
    <row r="207" spans="1:24" s="177" customFormat="1" ht="14.4" x14ac:dyDescent="0.3">
      <c r="A207" s="195"/>
      <c r="B207" s="195"/>
      <c r="C207" s="195"/>
      <c r="D207" s="195"/>
      <c r="E207" s="195"/>
      <c r="F207" s="195"/>
      <c r="G207" s="195"/>
      <c r="H207" s="195"/>
      <c r="I207" s="195"/>
      <c r="J207" s="195"/>
      <c r="K207" s="195"/>
      <c r="L207" s="195"/>
      <c r="M207" s="195"/>
      <c r="N207" s="195"/>
      <c r="O207" s="195"/>
      <c r="P207" s="49"/>
      <c r="Q207" s="49"/>
      <c r="R207" s="49"/>
      <c r="S207" s="49"/>
      <c r="T207" s="49"/>
      <c r="U207" s="49"/>
      <c r="V207" s="49"/>
      <c r="W207" s="49"/>
      <c r="X207" s="49"/>
    </row>
    <row r="208" spans="1:24" s="177" customFormat="1" ht="14.4" x14ac:dyDescent="0.3">
      <c r="A208" s="195"/>
      <c r="B208" s="195"/>
      <c r="C208" s="195"/>
      <c r="D208" s="195"/>
      <c r="E208" s="195"/>
      <c r="F208" s="195"/>
      <c r="G208" s="195"/>
      <c r="H208" s="195"/>
      <c r="I208" s="195"/>
      <c r="J208" s="195"/>
      <c r="K208" s="195"/>
      <c r="L208" s="195"/>
      <c r="M208" s="195"/>
      <c r="N208" s="195"/>
      <c r="O208" s="195"/>
      <c r="P208" s="49"/>
      <c r="Q208" s="49"/>
      <c r="R208" s="49"/>
      <c r="S208" s="49"/>
      <c r="T208" s="49"/>
      <c r="U208" s="49"/>
      <c r="V208" s="49"/>
      <c r="W208" s="49"/>
      <c r="X208" s="49"/>
    </row>
    <row r="209" spans="1:24" s="177" customFormat="1" ht="15" thickBot="1" x14ac:dyDescent="0.35">
      <c r="A209" s="195"/>
      <c r="B209" s="195"/>
      <c r="C209" s="195"/>
      <c r="D209" s="195"/>
      <c r="E209" s="195"/>
      <c r="F209" s="195"/>
      <c r="G209" s="195"/>
      <c r="H209" s="195"/>
      <c r="I209" s="195"/>
      <c r="J209" s="195"/>
      <c r="K209" s="195"/>
      <c r="L209" s="195"/>
      <c r="M209" s="195"/>
      <c r="N209" s="195"/>
      <c r="O209" s="195"/>
      <c r="P209" s="49"/>
      <c r="Q209" s="49"/>
      <c r="R209" s="49"/>
      <c r="S209" s="49"/>
      <c r="T209" s="49"/>
      <c r="U209" s="49"/>
      <c r="V209" s="49"/>
      <c r="W209" s="49"/>
      <c r="X209" s="49"/>
    </row>
    <row r="210" spans="1:24" s="177" customFormat="1" ht="23.4" x14ac:dyDescent="0.45">
      <c r="A210" s="195"/>
      <c r="B210" s="195"/>
      <c r="C210" s="188" t="s">
        <v>276</v>
      </c>
      <c r="D210" s="398"/>
      <c r="E210" s="398"/>
      <c r="F210" s="398"/>
      <c r="G210" s="398"/>
      <c r="H210" s="398"/>
      <c r="I210" s="398"/>
      <c r="J210" s="398"/>
      <c r="K210" s="398"/>
      <c r="L210" s="399"/>
      <c r="M210" s="195"/>
      <c r="N210" s="195"/>
      <c r="O210" s="195"/>
      <c r="P210" s="49"/>
      <c r="Q210" s="49"/>
      <c r="R210" s="49"/>
      <c r="S210" s="49"/>
      <c r="T210" s="49"/>
      <c r="U210" s="49"/>
      <c r="V210" s="49"/>
      <c r="W210" s="49"/>
      <c r="X210" s="49"/>
    </row>
    <row r="211" spans="1:24" s="177" customFormat="1" ht="14.4" x14ac:dyDescent="0.3">
      <c r="A211" s="195"/>
      <c r="B211" s="195"/>
      <c r="C211" s="400"/>
      <c r="D211" s="195"/>
      <c r="E211" s="195"/>
      <c r="F211" s="195"/>
      <c r="G211" s="195"/>
      <c r="H211" s="195"/>
      <c r="I211" s="195"/>
      <c r="J211" s="195"/>
      <c r="K211" s="49"/>
      <c r="L211" s="401"/>
      <c r="M211" s="195"/>
      <c r="N211" s="195"/>
      <c r="O211" s="195"/>
      <c r="P211" s="49"/>
      <c r="Q211" s="49"/>
      <c r="R211" s="49"/>
      <c r="S211" s="49"/>
      <c r="T211" s="49"/>
      <c r="U211" s="49"/>
      <c r="V211" s="49"/>
      <c r="W211" s="49"/>
      <c r="X211" s="49"/>
    </row>
    <row r="212" spans="1:24" s="177" customFormat="1" ht="15" thickBot="1" x14ac:dyDescent="0.35">
      <c r="A212" s="195"/>
      <c r="B212" s="195"/>
      <c r="C212" s="400"/>
      <c r="D212" s="195"/>
      <c r="E212" s="195"/>
      <c r="F212" s="195"/>
      <c r="G212" s="195"/>
      <c r="H212" s="195"/>
      <c r="I212" s="195"/>
      <c r="J212" s="195"/>
      <c r="K212" s="195"/>
      <c r="L212" s="401"/>
      <c r="M212" s="195"/>
      <c r="N212" s="195"/>
      <c r="O212" s="195"/>
      <c r="P212" s="49"/>
      <c r="Q212" s="49"/>
      <c r="R212" s="49"/>
      <c r="S212" s="49"/>
      <c r="T212" s="49"/>
      <c r="U212" s="49"/>
      <c r="V212" s="49"/>
      <c r="W212" s="49"/>
      <c r="X212" s="49"/>
    </row>
    <row r="213" spans="1:24" s="177" customFormat="1" ht="28.8" x14ac:dyDescent="0.3">
      <c r="A213" s="195"/>
      <c r="B213" s="195"/>
      <c r="C213" s="400"/>
      <c r="D213" s="195"/>
      <c r="E213" s="195"/>
      <c r="F213" s="195"/>
      <c r="G213" s="216" t="s">
        <v>222</v>
      </c>
      <c r="H213" s="216" t="s">
        <v>223</v>
      </c>
      <c r="I213" s="216" t="s">
        <v>224</v>
      </c>
      <c r="J213" s="195"/>
      <c r="K213" s="195"/>
      <c r="L213" s="401"/>
      <c r="M213" s="253"/>
      <c r="N213" s="195"/>
      <c r="O213" s="195"/>
      <c r="P213" s="49"/>
      <c r="Q213" s="49"/>
      <c r="R213" s="49"/>
      <c r="S213" s="49"/>
      <c r="T213" s="49"/>
      <c r="U213" s="49"/>
      <c r="V213" s="49"/>
      <c r="W213" s="49"/>
      <c r="X213" s="49"/>
    </row>
    <row r="214" spans="1:24" s="177" customFormat="1" ht="14.4" x14ac:dyDescent="0.3">
      <c r="A214" s="195"/>
      <c r="B214" s="195"/>
      <c r="C214" s="400"/>
      <c r="D214" s="195"/>
      <c r="E214" s="217" t="s">
        <v>277</v>
      </c>
      <c r="F214" s="49"/>
      <c r="G214" s="218">
        <f>J227</f>
        <v>1536</v>
      </c>
      <c r="H214" s="218">
        <f>G214*$G$3</f>
        <v>43008</v>
      </c>
      <c r="I214" s="218">
        <f>H214*52/12</f>
        <v>186368</v>
      </c>
      <c r="J214" s="195"/>
      <c r="K214" s="195"/>
      <c r="L214" s="401"/>
      <c r="M214" s="253"/>
      <c r="N214" s="195"/>
      <c r="O214" s="195"/>
      <c r="P214" s="49"/>
      <c r="Q214" s="49"/>
      <c r="R214" s="49"/>
      <c r="S214" s="49"/>
      <c r="T214" s="49"/>
      <c r="U214" s="49"/>
      <c r="V214" s="49"/>
      <c r="W214" s="49"/>
      <c r="X214" s="49"/>
    </row>
    <row r="215" spans="1:24" s="177" customFormat="1" ht="14.4" x14ac:dyDescent="0.3">
      <c r="A215" s="195"/>
      <c r="B215" s="195"/>
      <c r="C215" s="400"/>
      <c r="D215" s="195"/>
      <c r="E215" s="219" t="s">
        <v>225</v>
      </c>
      <c r="F215" s="49"/>
      <c r="G215" s="220" t="str">
        <f>VLOOKUP(G214,FabricMapping!$C$11:$F$21,4,1)</f>
        <v>F2</v>
      </c>
      <c r="H215" s="220" t="str">
        <f>VLOOKUP(H214,FabricMapping!$D$11:$F$21,3,1)</f>
        <v>F8</v>
      </c>
      <c r="I215" s="220" t="str">
        <f>VLOOKUP(I214,FabricMapping!$E$11:$F$21,2,1)</f>
        <v>F8</v>
      </c>
      <c r="J215" s="195"/>
      <c r="K215" s="195"/>
      <c r="L215" s="401"/>
      <c r="M215" s="195"/>
      <c r="N215" s="195"/>
      <c r="O215" s="195"/>
      <c r="P215" s="49"/>
      <c r="Q215" s="49"/>
      <c r="R215" s="49"/>
      <c r="S215" s="49"/>
      <c r="T215" s="49"/>
      <c r="U215" s="49"/>
      <c r="V215" s="49"/>
      <c r="W215" s="49"/>
      <c r="X215" s="49"/>
    </row>
    <row r="216" spans="1:24" s="177" customFormat="1" ht="14.4" x14ac:dyDescent="0.3">
      <c r="A216" s="195"/>
      <c r="B216" s="195"/>
      <c r="C216" s="400"/>
      <c r="D216" s="195"/>
      <c r="E216" s="219" t="s">
        <v>226</v>
      </c>
      <c r="F216" s="49"/>
      <c r="G216" s="218">
        <f>VLOOKUP(G215,FabricMapping!$F$10:$J$21,3,0)</f>
        <v>2880</v>
      </c>
      <c r="H216" s="218">
        <f>VLOOKUP(H215,FabricMapping!$F$10:$J$21,4,0)</f>
        <v>80640</v>
      </c>
      <c r="I216" s="218">
        <f>VLOOKUP(I215,FabricMapping!$F$10:$J$21,5,0)</f>
        <v>349440</v>
      </c>
      <c r="J216" s="195"/>
      <c r="K216" s="195"/>
      <c r="L216" s="401"/>
      <c r="M216" s="195"/>
      <c r="N216" s="195"/>
      <c r="O216" s="195"/>
      <c r="P216" s="49"/>
      <c r="Q216" s="49"/>
      <c r="R216" s="49"/>
      <c r="S216" s="49"/>
      <c r="T216" s="49"/>
      <c r="U216" s="49"/>
      <c r="V216" s="49"/>
      <c r="W216" s="49"/>
      <c r="X216" s="49"/>
    </row>
    <row r="217" spans="1:24" s="177" customFormat="1" ht="14.4" hidden="1" x14ac:dyDescent="0.3">
      <c r="A217" s="195"/>
      <c r="B217" s="195"/>
      <c r="C217" s="400"/>
      <c r="D217" s="195"/>
      <c r="E217" s="219" t="s">
        <v>227</v>
      </c>
      <c r="F217" s="49"/>
      <c r="G217" s="222">
        <f>G216*Cost_Setup!$F$7/60</f>
        <v>8.6399999999999988</v>
      </c>
      <c r="H217" s="222">
        <f>H216*Cost_Setup!$F$7/60</f>
        <v>241.92</v>
      </c>
      <c r="I217" s="222">
        <f>I216*Cost_Setup!$F$7/60</f>
        <v>1048.32</v>
      </c>
      <c r="J217" s="195"/>
      <c r="K217" s="195"/>
      <c r="L217" s="401"/>
      <c r="M217" s="195"/>
      <c r="N217" s="195"/>
      <c r="O217" s="195"/>
      <c r="P217" s="49"/>
      <c r="Q217" s="49"/>
      <c r="R217" s="49"/>
      <c r="S217" s="49"/>
      <c r="T217" s="49"/>
      <c r="U217" s="49"/>
      <c r="V217" s="49"/>
      <c r="W217" s="49"/>
      <c r="X217" s="49"/>
    </row>
    <row r="218" spans="1:24" s="177" customFormat="1" ht="14.4" x14ac:dyDescent="0.3">
      <c r="A218" s="195"/>
      <c r="B218" s="195"/>
      <c r="C218" s="400"/>
      <c r="D218" s="195"/>
      <c r="E218" s="219" t="s">
        <v>228</v>
      </c>
      <c r="F218" s="49"/>
      <c r="G218" s="223">
        <f>G214/G216</f>
        <v>0.53333333333333333</v>
      </c>
      <c r="H218" s="223">
        <f t="shared" ref="H218:I218" si="9">H214/H216</f>
        <v>0.53333333333333333</v>
      </c>
      <c r="I218" s="223">
        <f t="shared" si="9"/>
        <v>0.53333333333333333</v>
      </c>
      <c r="J218" s="195"/>
      <c r="K218" s="195"/>
      <c r="L218" s="401"/>
      <c r="M218" s="195"/>
      <c r="N218" s="195"/>
      <c r="O218" s="195"/>
      <c r="P218" s="49"/>
      <c r="Q218" s="49"/>
      <c r="R218" s="49"/>
      <c r="S218" s="49"/>
      <c r="T218" s="49"/>
      <c r="U218" s="49"/>
      <c r="V218" s="49"/>
      <c r="W218" s="49"/>
      <c r="X218" s="49"/>
    </row>
    <row r="219" spans="1:24" s="177" customFormat="1" ht="14.4" x14ac:dyDescent="0.3">
      <c r="A219" s="195"/>
      <c r="B219" s="195"/>
      <c r="C219" s="400"/>
      <c r="D219" s="195"/>
      <c r="E219" s="49"/>
      <c r="F219" s="49"/>
      <c r="G219" s="49"/>
      <c r="H219" s="49"/>
      <c r="I219" s="49"/>
      <c r="J219" s="195"/>
      <c r="K219" s="195"/>
      <c r="L219" s="401"/>
      <c r="M219" s="195"/>
      <c r="N219" s="195"/>
      <c r="O219" s="195"/>
      <c r="P219" s="49"/>
      <c r="Q219" s="49"/>
      <c r="R219" s="49"/>
      <c r="S219" s="49"/>
      <c r="T219" s="49"/>
      <c r="U219" s="49"/>
      <c r="V219" s="49"/>
      <c r="W219" s="49"/>
      <c r="X219" s="49"/>
    </row>
    <row r="220" spans="1:24" s="177" customFormat="1" ht="14.4" x14ac:dyDescent="0.3">
      <c r="A220" s="195"/>
      <c r="B220" s="195"/>
      <c r="C220" s="400"/>
      <c r="D220" s="195"/>
      <c r="E220" s="195"/>
      <c r="F220" s="49"/>
      <c r="G220" s="195"/>
      <c r="H220" s="49"/>
      <c r="I220" s="195"/>
      <c r="J220" s="49"/>
      <c r="K220" s="195"/>
      <c r="L220" s="401"/>
      <c r="M220" s="195"/>
      <c r="N220" s="195"/>
      <c r="O220" s="195"/>
      <c r="P220" s="49"/>
      <c r="Q220" s="49"/>
      <c r="R220" s="49"/>
      <c r="S220" s="49"/>
      <c r="T220" s="49"/>
      <c r="U220" s="49"/>
      <c r="V220" s="49"/>
      <c r="W220" s="49"/>
      <c r="X220" s="49"/>
    </row>
    <row r="221" spans="1:24" s="177" customFormat="1" ht="14.4" x14ac:dyDescent="0.3">
      <c r="A221" s="195"/>
      <c r="B221" s="195"/>
      <c r="C221" s="400"/>
      <c r="D221" s="195"/>
      <c r="E221" s="219" t="s">
        <v>225</v>
      </c>
      <c r="F221" s="49"/>
      <c r="G221" s="254" t="str">
        <f>G215</f>
        <v>F2</v>
      </c>
      <c r="H221" s="255">
        <f>VLOOKUP(G221,FabricMapping!$F$11:$L$21,6,0)</f>
        <v>263</v>
      </c>
      <c r="I221" s="195"/>
      <c r="J221" s="195"/>
      <c r="K221" s="195"/>
      <c r="L221" s="401"/>
      <c r="M221" s="195"/>
      <c r="N221" s="195"/>
      <c r="O221" s="195"/>
      <c r="P221" s="49"/>
      <c r="Q221" s="49"/>
      <c r="R221" s="49"/>
      <c r="S221" s="49"/>
      <c r="T221" s="49"/>
      <c r="U221" s="49"/>
      <c r="V221" s="49"/>
      <c r="W221" s="49"/>
      <c r="X221" s="49"/>
    </row>
    <row r="222" spans="1:24" s="177" customFormat="1" ht="14.4" x14ac:dyDescent="0.3">
      <c r="A222" s="195"/>
      <c r="B222" s="195"/>
      <c r="C222" s="400"/>
      <c r="D222" s="195"/>
      <c r="E222" s="219" t="s">
        <v>278</v>
      </c>
      <c r="F222" s="49"/>
      <c r="G222" s="254">
        <f>IF(IF(_xlfn.NUMBERVALUE(RIGHT(G221,LEN(G221)-1))&lt;64,($G$12+$G$15)-$G$14,($G$12-$G$14))*FabricMapping!$J$79&lt;0,0,IF(_xlfn.NUMBERVALUE(RIGHT(G221,LEN(G221)-1))&lt;64,($G$12+$G$15)-$G$14,($G$12-$G$14))*FabricMapping!$J$79)</f>
        <v>550</v>
      </c>
      <c r="H222" s="255">
        <f>$G$222*Cost_Setup!$G$7</f>
        <v>5500</v>
      </c>
      <c r="I222" s="204"/>
      <c r="J222" s="195"/>
      <c r="K222" s="195"/>
      <c r="L222" s="401"/>
      <c r="M222" s="195"/>
      <c r="N222" s="195"/>
      <c r="O222" s="195"/>
      <c r="P222" s="49"/>
      <c r="Q222" s="49"/>
      <c r="R222" s="49"/>
      <c r="S222" s="49"/>
      <c r="T222" s="49"/>
      <c r="U222" s="49"/>
      <c r="V222" s="49"/>
      <c r="W222" s="49"/>
      <c r="X222" s="49"/>
    </row>
    <row r="223" spans="1:24" s="177" customFormat="1" ht="14.4" x14ac:dyDescent="0.3">
      <c r="A223" s="195"/>
      <c r="B223" s="195"/>
      <c r="C223" s="400"/>
      <c r="D223" s="195"/>
      <c r="E223" s="195"/>
      <c r="F223" s="195"/>
      <c r="G223" s="195"/>
      <c r="H223" s="195"/>
      <c r="I223" s="195"/>
      <c r="J223" s="195"/>
      <c r="K223" s="195"/>
      <c r="L223" s="401"/>
      <c r="M223" s="195"/>
      <c r="N223" s="195"/>
      <c r="O223" s="195"/>
      <c r="P223" s="49"/>
      <c r="Q223" s="49"/>
      <c r="R223" s="49"/>
      <c r="S223" s="49"/>
      <c r="T223" s="49"/>
      <c r="U223" s="49"/>
      <c r="V223" s="49"/>
      <c r="W223" s="49"/>
      <c r="X223" s="49"/>
    </row>
    <row r="224" spans="1:24" s="177" customFormat="1" ht="15" thickBot="1" x14ac:dyDescent="0.35">
      <c r="A224" s="195"/>
      <c r="B224" s="195"/>
      <c r="C224" s="400"/>
      <c r="D224" s="195"/>
      <c r="E224" s="195"/>
      <c r="F224" s="195"/>
      <c r="G224" s="195"/>
      <c r="H224" s="195"/>
      <c r="I224" s="195"/>
      <c r="J224" s="195"/>
      <c r="K224" s="195"/>
      <c r="L224" s="401"/>
      <c r="M224" s="195"/>
      <c r="N224" s="195"/>
      <c r="O224" s="195"/>
      <c r="P224" s="49"/>
      <c r="Q224" s="49"/>
      <c r="R224" s="49"/>
      <c r="S224" s="49"/>
      <c r="T224" s="49"/>
      <c r="U224" s="49"/>
      <c r="V224" s="49"/>
      <c r="W224" s="49"/>
      <c r="X224" s="49"/>
    </row>
    <row r="225" spans="1:24" s="177" customFormat="1" ht="14.4" x14ac:dyDescent="0.3">
      <c r="A225" s="195"/>
      <c r="B225" s="195"/>
      <c r="C225" s="400"/>
      <c r="D225" s="195"/>
      <c r="E225" s="561" t="s">
        <v>279</v>
      </c>
      <c r="F225" s="195"/>
      <c r="G225" s="563" t="s">
        <v>277</v>
      </c>
      <c r="H225" s="564"/>
      <c r="I225" s="564"/>
      <c r="J225" s="564"/>
      <c r="K225" s="565"/>
      <c r="L225" s="401"/>
      <c r="M225" s="195"/>
      <c r="N225" s="195"/>
      <c r="O225" s="195"/>
      <c r="P225" s="49"/>
      <c r="Q225" s="49"/>
      <c r="R225" s="49"/>
      <c r="S225" s="49"/>
      <c r="T225" s="49"/>
      <c r="U225" s="49"/>
      <c r="V225" s="49"/>
      <c r="W225" s="49"/>
      <c r="X225" s="49"/>
    </row>
    <row r="226" spans="1:24" s="177" customFormat="1" ht="14.4" x14ac:dyDescent="0.3">
      <c r="A226" s="195"/>
      <c r="B226" s="195"/>
      <c r="C226" s="400"/>
      <c r="D226" s="195"/>
      <c r="E226" s="561"/>
      <c r="F226" s="195"/>
      <c r="G226" s="566" t="s">
        <v>280</v>
      </c>
      <c r="H226" s="567"/>
      <c r="I226" s="567"/>
      <c r="J226" s="567" t="s">
        <v>248</v>
      </c>
      <c r="K226" s="568"/>
      <c r="L226" s="401"/>
      <c r="M226" s="195"/>
      <c r="N226" s="195"/>
      <c r="O226" s="195"/>
      <c r="P226" s="49"/>
      <c r="Q226" s="49"/>
      <c r="R226" s="49"/>
      <c r="S226" s="49"/>
      <c r="T226" s="49"/>
      <c r="U226" s="49"/>
      <c r="V226" s="49"/>
      <c r="W226" s="49"/>
      <c r="X226" s="49"/>
    </row>
    <row r="227" spans="1:24" s="177" customFormat="1" ht="15" thickBot="1" x14ac:dyDescent="0.35">
      <c r="A227" s="195"/>
      <c r="B227" s="195"/>
      <c r="C227" s="400"/>
      <c r="D227" s="195"/>
      <c r="E227" s="561"/>
      <c r="F227" s="195"/>
      <c r="G227" s="569">
        <f>$G$19*60</f>
        <v>480</v>
      </c>
      <c r="H227" s="570"/>
      <c r="I227" s="570"/>
      <c r="J227" s="570">
        <f>G227*(FabricMapping!$AN$30*($G$15))</f>
        <v>1536</v>
      </c>
      <c r="K227" s="571"/>
      <c r="L227" s="401"/>
      <c r="M227" s="204"/>
      <c r="N227" s="228"/>
      <c r="O227" s="195"/>
      <c r="P227" s="49"/>
      <c r="Q227" s="49"/>
      <c r="R227" s="49"/>
      <c r="S227" s="49"/>
      <c r="T227" s="49"/>
      <c r="U227" s="49"/>
      <c r="V227" s="49"/>
      <c r="W227" s="49"/>
      <c r="X227" s="49"/>
    </row>
    <row r="228" spans="1:24" s="177" customFormat="1" ht="15" thickBot="1" x14ac:dyDescent="0.35">
      <c r="A228" s="195"/>
      <c r="B228" s="195"/>
      <c r="C228" s="400"/>
      <c r="D228" s="195"/>
      <c r="E228" s="195"/>
      <c r="F228" s="195"/>
      <c r="G228" s="195"/>
      <c r="H228" s="195"/>
      <c r="I228" s="195"/>
      <c r="J228" s="195"/>
      <c r="K228" s="195"/>
      <c r="L228" s="401"/>
      <c r="M228" s="253"/>
      <c r="N228" s="195"/>
      <c r="O228" s="195"/>
      <c r="P228" s="49"/>
      <c r="Q228" s="49"/>
      <c r="R228" s="49"/>
      <c r="S228" s="49"/>
      <c r="T228" s="49"/>
      <c r="U228" s="49"/>
      <c r="V228" s="49"/>
      <c r="W228" s="49"/>
      <c r="X228" s="49"/>
    </row>
    <row r="229" spans="1:24" s="177" customFormat="1" ht="28.8" x14ac:dyDescent="0.3">
      <c r="A229" s="195"/>
      <c r="B229" s="195"/>
      <c r="C229" s="400"/>
      <c r="D229" s="195"/>
      <c r="E229" s="195"/>
      <c r="F229" s="195"/>
      <c r="G229" s="216" t="s">
        <v>222</v>
      </c>
      <c r="H229" s="216" t="s">
        <v>223</v>
      </c>
      <c r="I229" s="216" t="s">
        <v>224</v>
      </c>
      <c r="J229" s="195"/>
      <c r="K229" s="195"/>
      <c r="L229" s="401"/>
      <c r="M229" s="256"/>
      <c r="N229" s="195"/>
      <c r="O229" s="195"/>
      <c r="P229" s="49"/>
      <c r="Q229" s="49"/>
      <c r="R229" s="49"/>
      <c r="S229" s="49"/>
      <c r="T229" s="49"/>
      <c r="U229" s="49"/>
      <c r="V229" s="49"/>
      <c r="W229" s="49"/>
      <c r="X229" s="49"/>
    </row>
    <row r="230" spans="1:24" s="177" customFormat="1" ht="14.4" x14ac:dyDescent="0.3">
      <c r="A230" s="195"/>
      <c r="B230" s="195"/>
      <c r="C230" s="400"/>
      <c r="D230" s="195"/>
      <c r="E230" s="217" t="s">
        <v>277</v>
      </c>
      <c r="F230" s="49"/>
      <c r="G230" s="218">
        <f>J243</f>
        <v>1920.0000000000002</v>
      </c>
      <c r="H230" s="218">
        <f>G230*$G$3</f>
        <v>53760.000000000007</v>
      </c>
      <c r="I230" s="218">
        <f>H230*52/12</f>
        <v>232960.00000000003</v>
      </c>
      <c r="J230" s="195"/>
      <c r="K230" s="195"/>
      <c r="L230" s="401"/>
      <c r="M230" s="195"/>
      <c r="N230" s="195"/>
      <c r="O230" s="195"/>
      <c r="P230" s="49"/>
      <c r="Q230" s="49"/>
      <c r="R230" s="49"/>
      <c r="S230" s="49"/>
      <c r="T230" s="49"/>
      <c r="U230" s="49"/>
      <c r="V230" s="49"/>
      <c r="W230" s="49"/>
      <c r="X230" s="49"/>
    </row>
    <row r="231" spans="1:24" s="177" customFormat="1" ht="14.4" x14ac:dyDescent="0.3">
      <c r="A231" s="195"/>
      <c r="B231" s="195"/>
      <c r="C231" s="400"/>
      <c r="D231" s="195"/>
      <c r="E231" s="219" t="s">
        <v>225</v>
      </c>
      <c r="F231" s="49"/>
      <c r="G231" s="220" t="str">
        <f>VLOOKUP(G230,FabricMapping!$C$11:$F$21,4,1)</f>
        <v>F2</v>
      </c>
      <c r="H231" s="220" t="str">
        <f>VLOOKUP(H230,FabricMapping!$D$11:$F$21,3,1)</f>
        <v>F8</v>
      </c>
      <c r="I231" s="220" t="str">
        <f>VLOOKUP(I230,FabricMapping!$E$11:$F$21,2,1)</f>
        <v>F8</v>
      </c>
      <c r="J231" s="195"/>
      <c r="K231" s="195"/>
      <c r="L231" s="401"/>
      <c r="M231" s="195"/>
      <c r="N231" s="195"/>
      <c r="O231" s="195"/>
      <c r="P231" s="49"/>
      <c r="Q231" s="49"/>
      <c r="R231" s="49"/>
      <c r="S231" s="49"/>
      <c r="T231" s="49"/>
      <c r="U231" s="49"/>
      <c r="V231" s="49"/>
      <c r="W231" s="49"/>
      <c r="X231" s="49"/>
    </row>
    <row r="232" spans="1:24" s="177" customFormat="1" ht="14.4" x14ac:dyDescent="0.3">
      <c r="A232" s="195"/>
      <c r="B232" s="195"/>
      <c r="C232" s="400"/>
      <c r="D232" s="195"/>
      <c r="E232" s="219" t="s">
        <v>226</v>
      </c>
      <c r="F232" s="49"/>
      <c r="G232" s="218">
        <f>VLOOKUP(G231,FabricMapping!$F$10:$J$21,3,0)</f>
        <v>2880</v>
      </c>
      <c r="H232" s="218">
        <f>VLOOKUP(H231,FabricMapping!$F$10:$J$21,4,0)</f>
        <v>80640</v>
      </c>
      <c r="I232" s="218">
        <f>VLOOKUP(I231,FabricMapping!$F$10:$J$21,5,0)</f>
        <v>349440</v>
      </c>
      <c r="J232" s="195"/>
      <c r="K232" s="195"/>
      <c r="L232" s="401"/>
      <c r="M232" s="195"/>
      <c r="N232" s="195"/>
      <c r="O232" s="195"/>
      <c r="P232" s="49"/>
      <c r="Q232" s="49"/>
      <c r="R232" s="49"/>
      <c r="S232" s="49"/>
      <c r="T232" s="49"/>
      <c r="U232" s="49"/>
      <c r="V232" s="49"/>
      <c r="W232" s="49"/>
      <c r="X232" s="49"/>
    </row>
    <row r="233" spans="1:24" s="177" customFormat="1" ht="14.4" hidden="1" x14ac:dyDescent="0.3">
      <c r="A233" s="195"/>
      <c r="B233" s="195"/>
      <c r="C233" s="400"/>
      <c r="D233" s="195"/>
      <c r="E233" s="219" t="s">
        <v>227</v>
      </c>
      <c r="F233" s="49"/>
      <c r="G233" s="222">
        <f>G232*Cost_Setup!$F$7/60</f>
        <v>8.6399999999999988</v>
      </c>
      <c r="H233" s="222">
        <f>H232*Cost_Setup!$F$7/60</f>
        <v>241.92</v>
      </c>
      <c r="I233" s="222">
        <f>I232*Cost_Setup!$F$7/60</f>
        <v>1048.32</v>
      </c>
      <c r="J233" s="195"/>
      <c r="K233" s="195"/>
      <c r="L233" s="401"/>
      <c r="M233" s="195"/>
      <c r="N233" s="195"/>
      <c r="O233" s="195"/>
      <c r="P233" s="49"/>
      <c r="Q233" s="49"/>
      <c r="R233" s="49"/>
      <c r="S233" s="49"/>
      <c r="T233" s="49"/>
      <c r="U233" s="49"/>
      <c r="V233" s="49"/>
      <c r="W233" s="49"/>
      <c r="X233" s="49"/>
    </row>
    <row r="234" spans="1:24" s="177" customFormat="1" ht="14.4" x14ac:dyDescent="0.3">
      <c r="A234" s="195"/>
      <c r="B234" s="195"/>
      <c r="C234" s="400"/>
      <c r="D234" s="195"/>
      <c r="E234" s="219" t="s">
        <v>228</v>
      </c>
      <c r="F234" s="49"/>
      <c r="G234" s="223">
        <f>G230/G232</f>
        <v>0.66666666666666674</v>
      </c>
      <c r="H234" s="223">
        <f t="shared" ref="H234:I234" si="10">H230/H232</f>
        <v>0.66666666666666674</v>
      </c>
      <c r="I234" s="223">
        <f t="shared" si="10"/>
        <v>0.66666666666666674</v>
      </c>
      <c r="J234" s="195"/>
      <c r="K234" s="195"/>
      <c r="L234" s="401"/>
      <c r="M234" s="195"/>
      <c r="N234" s="195"/>
      <c r="O234" s="195"/>
      <c r="P234" s="49"/>
      <c r="Q234" s="49"/>
      <c r="R234" s="49"/>
      <c r="S234" s="49"/>
      <c r="T234" s="49"/>
      <c r="U234" s="49"/>
      <c r="V234" s="49"/>
      <c r="W234" s="49"/>
      <c r="X234" s="49"/>
    </row>
    <row r="235" spans="1:24" s="177" customFormat="1" ht="14.4" x14ac:dyDescent="0.3">
      <c r="A235" s="195"/>
      <c r="B235" s="195"/>
      <c r="C235" s="400"/>
      <c r="D235" s="195"/>
      <c r="E235" s="49"/>
      <c r="F235" s="49"/>
      <c r="G235" s="49"/>
      <c r="H235" s="49"/>
      <c r="I235" s="49"/>
      <c r="J235" s="195"/>
      <c r="K235" s="195"/>
      <c r="L235" s="401"/>
      <c r="M235" s="195"/>
      <c r="N235" s="195"/>
      <c r="O235" s="195"/>
      <c r="P235" s="49"/>
      <c r="Q235" s="49"/>
      <c r="R235" s="49"/>
      <c r="S235" s="49"/>
      <c r="T235" s="49"/>
      <c r="U235" s="49"/>
      <c r="V235" s="49"/>
      <c r="W235" s="49"/>
      <c r="X235" s="49"/>
    </row>
    <row r="236" spans="1:24" s="177" customFormat="1" ht="14.4" x14ac:dyDescent="0.3">
      <c r="A236" s="195"/>
      <c r="B236" s="195"/>
      <c r="C236" s="400"/>
      <c r="D236" s="195"/>
      <c r="E236" s="195"/>
      <c r="F236" s="49"/>
      <c r="G236" s="195"/>
      <c r="H236" s="49"/>
      <c r="I236" s="195"/>
      <c r="J236" s="195"/>
      <c r="K236" s="195"/>
      <c r="L236" s="401"/>
      <c r="M236" s="195"/>
      <c r="N236" s="195"/>
      <c r="O236" s="195"/>
      <c r="P236" s="49"/>
      <c r="Q236" s="49"/>
      <c r="R236" s="49"/>
      <c r="S236" s="49"/>
      <c r="T236" s="49"/>
      <c r="U236" s="49"/>
      <c r="V236" s="49"/>
      <c r="W236" s="49"/>
      <c r="X236" s="49"/>
    </row>
    <row r="237" spans="1:24" s="177" customFormat="1" ht="14.4" x14ac:dyDescent="0.3">
      <c r="A237" s="195"/>
      <c r="B237" s="195"/>
      <c r="C237" s="400"/>
      <c r="D237" s="195"/>
      <c r="E237" s="219" t="s">
        <v>225</v>
      </c>
      <c r="F237" s="49"/>
      <c r="G237" s="254" t="str">
        <f>G231</f>
        <v>F2</v>
      </c>
      <c r="H237" s="255">
        <f>VLOOKUP(G237,FabricMapping!$F$11:$L$21,6,0)</f>
        <v>263</v>
      </c>
      <c r="I237" s="195"/>
      <c r="J237" s="195"/>
      <c r="K237" s="195"/>
      <c r="L237" s="401"/>
      <c r="M237" s="195"/>
      <c r="N237" s="195"/>
      <c r="O237" s="195"/>
      <c r="P237" s="49"/>
      <c r="Q237" s="49"/>
      <c r="R237" s="49"/>
      <c r="S237" s="49"/>
      <c r="T237" s="49"/>
      <c r="U237" s="49"/>
      <c r="V237" s="49"/>
      <c r="W237" s="49"/>
      <c r="X237" s="49"/>
    </row>
    <row r="238" spans="1:24" s="177" customFormat="1" ht="8.25" customHeight="1" x14ac:dyDescent="0.3">
      <c r="A238" s="195"/>
      <c r="B238" s="195"/>
      <c r="C238" s="400"/>
      <c r="D238" s="195"/>
      <c r="E238" s="49"/>
      <c r="F238" s="49"/>
      <c r="G238" s="49"/>
      <c r="H238" s="49"/>
      <c r="I238" s="195"/>
      <c r="J238" s="195"/>
      <c r="K238" s="195"/>
      <c r="L238" s="401"/>
      <c r="M238" s="195"/>
      <c r="N238" s="195"/>
      <c r="O238" s="195"/>
      <c r="P238" s="49"/>
      <c r="Q238" s="49"/>
      <c r="R238" s="49"/>
      <c r="S238" s="49"/>
      <c r="T238" s="49"/>
      <c r="U238" s="49"/>
      <c r="V238" s="49"/>
      <c r="W238" s="49"/>
      <c r="X238" s="49"/>
    </row>
    <row r="239" spans="1:24" s="177" customFormat="1" ht="8.25" customHeight="1" x14ac:dyDescent="0.3">
      <c r="A239" s="195"/>
      <c r="B239" s="195"/>
      <c r="C239" s="400"/>
      <c r="D239" s="195"/>
      <c r="E239" s="195"/>
      <c r="F239" s="195"/>
      <c r="G239" s="195"/>
      <c r="H239" s="195"/>
      <c r="I239" s="195"/>
      <c r="J239" s="195"/>
      <c r="K239" s="195"/>
      <c r="L239" s="401"/>
      <c r="M239" s="195"/>
      <c r="N239" s="195"/>
      <c r="O239" s="195"/>
      <c r="P239" s="49"/>
      <c r="Q239" s="49"/>
      <c r="R239" s="49"/>
      <c r="S239" s="49"/>
      <c r="T239" s="49"/>
      <c r="U239" s="49"/>
      <c r="V239" s="49"/>
      <c r="W239" s="49"/>
      <c r="X239" s="49"/>
    </row>
    <row r="240" spans="1:24" s="177" customFormat="1" ht="8.25" customHeight="1" thickBot="1" x14ac:dyDescent="0.35">
      <c r="A240" s="195"/>
      <c r="B240" s="195"/>
      <c r="C240" s="400"/>
      <c r="D240" s="195"/>
      <c r="E240" s="195"/>
      <c r="F240" s="195"/>
      <c r="G240" s="195"/>
      <c r="H240" s="195"/>
      <c r="I240" s="195"/>
      <c r="J240" s="195"/>
      <c r="K240" s="195"/>
      <c r="L240" s="401"/>
      <c r="M240" s="195"/>
      <c r="N240" s="195"/>
      <c r="O240" s="195"/>
      <c r="P240" s="49"/>
      <c r="Q240" s="49"/>
      <c r="R240" s="49"/>
      <c r="S240" s="49"/>
      <c r="T240" s="49"/>
      <c r="U240" s="49"/>
      <c r="V240" s="49"/>
      <c r="W240" s="49"/>
      <c r="X240" s="49"/>
    </row>
    <row r="241" spans="1:24" s="177" customFormat="1" ht="14.4" x14ac:dyDescent="0.3">
      <c r="A241" s="195"/>
      <c r="B241" s="195"/>
      <c r="C241" s="400"/>
      <c r="D241" s="195"/>
      <c r="E241" s="561" t="s">
        <v>146</v>
      </c>
      <c r="F241" s="195"/>
      <c r="G241" s="563" t="s">
        <v>281</v>
      </c>
      <c r="H241" s="564"/>
      <c r="I241" s="564"/>
      <c r="J241" s="564"/>
      <c r="K241" s="565"/>
      <c r="L241" s="401"/>
      <c r="M241" s="195"/>
      <c r="N241" s="195"/>
      <c r="O241" s="195"/>
      <c r="P241" s="49"/>
      <c r="Q241" s="49"/>
      <c r="R241" s="49"/>
      <c r="S241" s="49"/>
      <c r="T241" s="49"/>
      <c r="U241" s="49"/>
      <c r="V241" s="49"/>
      <c r="W241" s="49"/>
      <c r="X241" s="49"/>
    </row>
    <row r="242" spans="1:24" s="177" customFormat="1" ht="14.4" x14ac:dyDescent="0.3">
      <c r="A242" s="195"/>
      <c r="B242" s="195"/>
      <c r="C242" s="400"/>
      <c r="D242" s="195"/>
      <c r="E242" s="561"/>
      <c r="F242" s="195"/>
      <c r="G242" s="566" t="s">
        <v>280</v>
      </c>
      <c r="H242" s="567"/>
      <c r="I242" s="567"/>
      <c r="J242" s="567" t="s">
        <v>248</v>
      </c>
      <c r="K242" s="568"/>
      <c r="L242" s="401"/>
      <c r="M242" s="195"/>
      <c r="N242" s="195"/>
      <c r="O242" s="195"/>
      <c r="P242" s="49"/>
      <c r="Q242" s="49"/>
      <c r="R242" s="49"/>
      <c r="S242" s="49"/>
      <c r="T242" s="49"/>
      <c r="U242" s="49"/>
      <c r="V242" s="49"/>
      <c r="W242" s="49"/>
      <c r="X242" s="49"/>
    </row>
    <row r="243" spans="1:24" s="177" customFormat="1" ht="15" thickBot="1" x14ac:dyDescent="0.35">
      <c r="A243" s="195"/>
      <c r="B243" s="195"/>
      <c r="C243" s="400"/>
      <c r="D243" s="195"/>
      <c r="E243" s="561"/>
      <c r="F243" s="195"/>
      <c r="G243" s="569">
        <f>$G$18*60</f>
        <v>720</v>
      </c>
      <c r="H243" s="570"/>
      <c r="I243" s="570"/>
      <c r="J243" s="570">
        <f>G243*FabricMapping!$AN$42*$G$17</f>
        <v>1920.0000000000002</v>
      </c>
      <c r="K243" s="571"/>
      <c r="L243" s="401"/>
      <c r="M243" s="195"/>
      <c r="N243" s="195"/>
      <c r="O243" s="195"/>
      <c r="P243" s="49"/>
      <c r="Q243" s="49"/>
      <c r="R243" s="49"/>
      <c r="S243" s="49"/>
      <c r="T243" s="49"/>
      <c r="U243" s="49"/>
      <c r="V243" s="49"/>
      <c r="W243" s="49"/>
      <c r="X243" s="49"/>
    </row>
    <row r="244" spans="1:24" s="177" customFormat="1" ht="14.4" x14ac:dyDescent="0.3">
      <c r="A244" s="195"/>
      <c r="B244" s="195"/>
      <c r="C244" s="400"/>
      <c r="D244" s="195"/>
      <c r="E244" s="195"/>
      <c r="F244" s="195"/>
      <c r="G244" s="195"/>
      <c r="H244" s="195"/>
      <c r="I244" s="195"/>
      <c r="J244" s="195"/>
      <c r="K244" s="195"/>
      <c r="L244" s="401"/>
      <c r="M244" s="195"/>
      <c r="N244" s="195"/>
      <c r="O244" s="195"/>
      <c r="P244" s="49"/>
      <c r="Q244" s="49"/>
      <c r="R244" s="49"/>
      <c r="S244" s="49"/>
      <c r="T244" s="49"/>
      <c r="U244" s="49"/>
      <c r="V244" s="49"/>
      <c r="W244" s="49"/>
      <c r="X244" s="49"/>
    </row>
    <row r="245" spans="1:24" s="177" customFormat="1" ht="14.4" x14ac:dyDescent="0.3">
      <c r="A245" s="195"/>
      <c r="B245" s="195"/>
      <c r="C245" s="400"/>
      <c r="D245" s="195"/>
      <c r="E245" s="195"/>
      <c r="F245" s="195"/>
      <c r="G245" s="195"/>
      <c r="H245" s="195"/>
      <c r="I245" s="195"/>
      <c r="J245" s="195"/>
      <c r="K245" s="195"/>
      <c r="L245" s="401"/>
      <c r="M245" s="195"/>
      <c r="N245" s="195"/>
      <c r="O245" s="195"/>
      <c r="P245" s="49"/>
      <c r="Q245" s="49"/>
      <c r="R245" s="49"/>
      <c r="S245" s="49"/>
      <c r="T245" s="49"/>
      <c r="U245" s="49"/>
      <c r="V245" s="49"/>
      <c r="W245" s="49"/>
      <c r="X245" s="49"/>
    </row>
    <row r="246" spans="1:24" s="177" customFormat="1" ht="14.4" x14ac:dyDescent="0.3">
      <c r="A246" s="195"/>
      <c r="B246" s="195"/>
      <c r="C246" s="400"/>
      <c r="D246" s="195"/>
      <c r="E246" s="195"/>
      <c r="F246" s="195"/>
      <c r="G246" s="195"/>
      <c r="H246" s="195"/>
      <c r="I246" s="195"/>
      <c r="J246" s="195"/>
      <c r="K246" s="195"/>
      <c r="L246" s="401"/>
      <c r="M246" s="195"/>
      <c r="N246" s="195"/>
      <c r="O246" s="195"/>
      <c r="P246" s="49"/>
      <c r="Q246" s="49"/>
      <c r="R246" s="49"/>
      <c r="S246" s="49"/>
      <c r="T246" s="49"/>
      <c r="U246" s="49"/>
      <c r="V246" s="49"/>
      <c r="W246" s="49"/>
      <c r="X246" s="49"/>
    </row>
    <row r="247" spans="1:24" s="177" customFormat="1" ht="15" thickBot="1" x14ac:dyDescent="0.35">
      <c r="A247" s="195"/>
      <c r="B247" s="195"/>
      <c r="C247" s="409"/>
      <c r="D247" s="408"/>
      <c r="E247" s="408"/>
      <c r="F247" s="408"/>
      <c r="G247" s="408"/>
      <c r="H247" s="408"/>
      <c r="I247" s="408"/>
      <c r="J247" s="408"/>
      <c r="K247" s="408"/>
      <c r="L247" s="410"/>
      <c r="M247" s="195"/>
      <c r="N247" s="195"/>
      <c r="O247" s="195"/>
      <c r="P247" s="49"/>
      <c r="Q247" s="49"/>
      <c r="R247" s="49"/>
      <c r="S247" s="49"/>
      <c r="T247" s="49"/>
      <c r="U247" s="49"/>
      <c r="V247" s="49"/>
      <c r="W247" s="49"/>
      <c r="X247" s="49"/>
    </row>
    <row r="248" spans="1:24" s="177" customFormat="1" ht="14.4" x14ac:dyDescent="0.3">
      <c r="A248" s="195"/>
      <c r="B248" s="49"/>
      <c r="C248" s="49"/>
      <c r="D248" s="49"/>
      <c r="E248" s="49"/>
      <c r="F248" s="49"/>
      <c r="G248" s="49"/>
      <c r="H248" s="49"/>
      <c r="I248" s="49"/>
      <c r="J248" s="49"/>
      <c r="K248" s="49"/>
      <c r="L248" s="49"/>
      <c r="M248" s="49"/>
      <c r="N248" s="195"/>
      <c r="O248" s="195"/>
      <c r="P248" s="49"/>
      <c r="Q248" s="49"/>
      <c r="R248" s="49"/>
      <c r="S248" s="49"/>
      <c r="T248" s="49"/>
      <c r="U248" s="49"/>
      <c r="V248" s="49"/>
      <c r="W248" s="49"/>
      <c r="X248" s="49"/>
    </row>
    <row r="249" spans="1:24" s="177" customFormat="1" ht="14.4" x14ac:dyDescent="0.3">
      <c r="A249" s="195"/>
      <c r="B249" s="49"/>
      <c r="C249" s="49"/>
      <c r="D249" s="49"/>
      <c r="E249" s="49"/>
      <c r="F249" s="49"/>
      <c r="G249" s="49"/>
      <c r="H249" s="49"/>
      <c r="I249" s="49"/>
      <c r="J249" s="49"/>
      <c r="K249" s="49"/>
      <c r="L249" s="49"/>
      <c r="M249" s="49"/>
      <c r="N249" s="195"/>
      <c r="O249" s="195"/>
      <c r="P249" s="49"/>
      <c r="Q249" s="49"/>
      <c r="R249" s="49"/>
      <c r="S249" s="49"/>
      <c r="T249" s="49"/>
      <c r="U249" s="49"/>
      <c r="V249" s="49"/>
      <c r="W249" s="49"/>
      <c r="X249" s="49"/>
    </row>
    <row r="250" spans="1:24" s="177" customFormat="1" ht="15" thickBot="1" x14ac:dyDescent="0.35">
      <c r="A250" s="195"/>
      <c r="B250" s="49"/>
      <c r="C250" s="49"/>
      <c r="D250" s="49"/>
      <c r="E250" s="49"/>
      <c r="F250" s="49"/>
      <c r="G250" s="49"/>
      <c r="H250" s="49"/>
      <c r="I250" s="49"/>
      <c r="J250" s="49"/>
      <c r="K250" s="49"/>
      <c r="L250" s="49"/>
      <c r="M250" s="49"/>
      <c r="N250" s="195"/>
      <c r="O250" s="195"/>
      <c r="P250" s="49"/>
      <c r="Q250" s="49"/>
      <c r="R250" s="49"/>
      <c r="S250" s="49"/>
      <c r="T250" s="49"/>
      <c r="U250" s="49"/>
      <c r="V250" s="49"/>
      <c r="W250" s="49"/>
      <c r="X250" s="49"/>
    </row>
    <row r="251" spans="1:24" s="177" customFormat="1" ht="23.4" x14ac:dyDescent="0.45">
      <c r="A251" s="195"/>
      <c r="B251" s="195"/>
      <c r="C251" s="188" t="s">
        <v>282</v>
      </c>
      <c r="D251" s="398"/>
      <c r="E251" s="398"/>
      <c r="F251" s="398"/>
      <c r="G251" s="398"/>
      <c r="H251" s="398"/>
      <c r="I251" s="398"/>
      <c r="J251" s="398"/>
      <c r="K251" s="398"/>
      <c r="L251" s="399"/>
      <c r="M251" s="195"/>
      <c r="N251" s="195"/>
      <c r="O251" s="195"/>
      <c r="P251" s="49"/>
      <c r="Q251" s="49"/>
      <c r="R251" s="49"/>
      <c r="S251" s="49"/>
      <c r="T251" s="49"/>
      <c r="U251" s="49"/>
      <c r="V251" s="49"/>
      <c r="W251" s="49"/>
      <c r="X251" s="49"/>
    </row>
    <row r="252" spans="1:24" s="177" customFormat="1" ht="14.4" x14ac:dyDescent="0.3">
      <c r="A252" s="195"/>
      <c r="B252" s="195"/>
      <c r="C252" s="400"/>
      <c r="D252" s="195"/>
      <c r="E252" s="195"/>
      <c r="F252" s="195"/>
      <c r="G252" s="195"/>
      <c r="H252" s="195"/>
      <c r="I252" s="195"/>
      <c r="J252" s="195"/>
      <c r="K252" s="195"/>
      <c r="L252" s="401"/>
      <c r="M252" s="195"/>
      <c r="N252" s="195"/>
      <c r="O252" s="195"/>
      <c r="P252" s="49"/>
      <c r="Q252" s="49"/>
      <c r="R252" s="49"/>
      <c r="S252" s="49"/>
      <c r="T252" s="49"/>
      <c r="U252" s="49"/>
      <c r="V252" s="49"/>
      <c r="W252" s="49"/>
      <c r="X252" s="49"/>
    </row>
    <row r="253" spans="1:24" s="177" customFormat="1" ht="15" thickBot="1" x14ac:dyDescent="0.35">
      <c r="A253" s="195"/>
      <c r="B253" s="195"/>
      <c r="C253" s="400"/>
      <c r="D253" s="195"/>
      <c r="E253" s="195"/>
      <c r="F253" s="195"/>
      <c r="G253" s="195" t="s">
        <v>56</v>
      </c>
      <c r="H253" s="195"/>
      <c r="I253" s="195"/>
      <c r="J253" s="195"/>
      <c r="K253" s="195"/>
      <c r="L253" s="401"/>
      <c r="M253" s="195"/>
      <c r="N253" s="195"/>
      <c r="O253" s="195"/>
      <c r="P253" s="49"/>
      <c r="Q253" s="49"/>
      <c r="R253" s="49"/>
      <c r="S253" s="49"/>
      <c r="T253" s="49"/>
      <c r="U253" s="49"/>
      <c r="V253" s="49"/>
      <c r="W253" s="49"/>
      <c r="X253" s="49"/>
    </row>
    <row r="254" spans="1:24" s="177" customFormat="1" ht="28.8" x14ac:dyDescent="0.3">
      <c r="A254" s="195"/>
      <c r="B254" s="195"/>
      <c r="C254" s="400"/>
      <c r="D254" s="195"/>
      <c r="E254" s="195"/>
      <c r="F254" s="195"/>
      <c r="G254" s="216" t="s">
        <v>222</v>
      </c>
      <c r="H254" s="216" t="s">
        <v>223</v>
      </c>
      <c r="I254" s="216" t="s">
        <v>224</v>
      </c>
      <c r="J254" s="195"/>
      <c r="K254" s="195"/>
      <c r="L254" s="401"/>
      <c r="M254" s="195"/>
      <c r="N254" s="195"/>
      <c r="O254" s="195"/>
      <c r="P254" s="49"/>
      <c r="Q254" s="49"/>
      <c r="R254" s="49"/>
      <c r="S254" s="49"/>
      <c r="T254" s="49"/>
      <c r="U254" s="49"/>
      <c r="V254" s="49"/>
      <c r="W254" s="49"/>
      <c r="X254" s="49"/>
    </row>
    <row r="255" spans="1:24" s="177" customFormat="1" ht="14.4" x14ac:dyDescent="0.3">
      <c r="A255" s="195"/>
      <c r="B255" s="195"/>
      <c r="C255" s="400"/>
      <c r="D255" s="195"/>
      <c r="E255" s="217" t="s">
        <v>283</v>
      </c>
      <c r="F255" s="49"/>
      <c r="G255" s="218">
        <f>J269+J276</f>
        <v>24000</v>
      </c>
      <c r="H255" s="218">
        <f>G255*$G$3</f>
        <v>672000</v>
      </c>
      <c r="I255" s="218">
        <f>H255*52/12</f>
        <v>2912000</v>
      </c>
      <c r="J255" s="195"/>
      <c r="K255" s="195"/>
      <c r="L255" s="401"/>
      <c r="M255" s="195"/>
      <c r="N255" s="195"/>
      <c r="O255" s="195"/>
      <c r="P255" s="49"/>
      <c r="Q255" s="49"/>
      <c r="R255" s="49"/>
      <c r="S255" s="49"/>
      <c r="T255" s="49"/>
      <c r="U255" s="49"/>
      <c r="V255" s="49"/>
      <c r="W255" s="49"/>
      <c r="X255" s="49"/>
    </row>
    <row r="256" spans="1:24" s="177" customFormat="1" ht="14.4" x14ac:dyDescent="0.3">
      <c r="A256" s="195"/>
      <c r="B256" s="195"/>
      <c r="C256" s="400"/>
      <c r="D256" s="195"/>
      <c r="E256" s="219" t="s">
        <v>225</v>
      </c>
      <c r="F256" s="49"/>
      <c r="G256" s="220" t="str">
        <f>VLOOKUP(G255,FabricMapping!$C$11:$F$21,4,1)</f>
        <v>F32</v>
      </c>
      <c r="H256" s="220" t="str">
        <f>VLOOKUP(H255,FabricMapping!$D$11:$F$21,3,1)</f>
        <v>F128</v>
      </c>
      <c r="I256" s="220" t="str">
        <f>VLOOKUP(I255,FabricMapping!$E$11:$F$21,2,1)</f>
        <v>F128</v>
      </c>
      <c r="J256" s="195"/>
      <c r="K256" s="195"/>
      <c r="L256" s="401"/>
      <c r="M256" s="195"/>
      <c r="N256" s="195"/>
      <c r="O256" s="195"/>
      <c r="P256" s="49"/>
      <c r="Q256" s="49"/>
      <c r="R256" s="49"/>
      <c r="S256" s="49"/>
      <c r="T256" s="49"/>
      <c r="U256" s="49"/>
      <c r="V256" s="49"/>
      <c r="W256" s="49"/>
      <c r="X256" s="49"/>
    </row>
    <row r="257" spans="1:24" s="177" customFormat="1" ht="14.4" x14ac:dyDescent="0.3">
      <c r="A257" s="195"/>
      <c r="B257" s="195"/>
      <c r="C257" s="400"/>
      <c r="D257" s="195"/>
      <c r="E257" s="219" t="s">
        <v>226</v>
      </c>
      <c r="F257" s="49"/>
      <c r="G257" s="218">
        <f>VLOOKUP(G256,FabricMapping!$F$10:$J$21,3,0)</f>
        <v>46080</v>
      </c>
      <c r="H257" s="218">
        <f>VLOOKUP(H256,FabricMapping!$F$10:$J$21,4,0)</f>
        <v>1290240</v>
      </c>
      <c r="I257" s="218">
        <f>VLOOKUP(I256,FabricMapping!$F$10:$J$21,5,0)</f>
        <v>5591040</v>
      </c>
      <c r="J257" s="195"/>
      <c r="K257" s="195"/>
      <c r="L257" s="401"/>
      <c r="M257" s="195"/>
      <c r="N257" s="195"/>
      <c r="O257" s="195"/>
      <c r="P257" s="49"/>
      <c r="Q257" s="49"/>
      <c r="R257" s="49"/>
      <c r="S257" s="49"/>
      <c r="T257" s="49"/>
      <c r="U257" s="49"/>
      <c r="V257" s="49"/>
      <c r="W257" s="49"/>
      <c r="X257" s="49"/>
    </row>
    <row r="258" spans="1:24" s="177" customFormat="1" ht="18" hidden="1" x14ac:dyDescent="0.35">
      <c r="A258" s="195"/>
      <c r="B258" s="221"/>
      <c r="C258" s="400"/>
      <c r="D258" s="195"/>
      <c r="E258" s="219" t="s">
        <v>227</v>
      </c>
      <c r="F258" s="49"/>
      <c r="G258" s="222">
        <f>G257*Cost_Setup!$F$7/60</f>
        <v>138.23999999999998</v>
      </c>
      <c r="H258" s="222">
        <f>H257*Cost_Setup!$F$7/60</f>
        <v>3870.72</v>
      </c>
      <c r="I258" s="222">
        <f>I257*Cost_Setup!$F$7/60</f>
        <v>16773.12</v>
      </c>
      <c r="J258" s="195"/>
      <c r="K258" s="195"/>
      <c r="L258" s="401"/>
      <c r="M258" s="195"/>
      <c r="N258" s="195"/>
      <c r="O258" s="195"/>
      <c r="P258" s="49"/>
      <c r="Q258" s="49"/>
      <c r="R258" s="49"/>
      <c r="S258" s="49"/>
      <c r="T258" s="49"/>
      <c r="U258" s="49"/>
      <c r="V258" s="49"/>
      <c r="W258" s="49"/>
      <c r="X258" s="49"/>
    </row>
    <row r="259" spans="1:24" s="177" customFormat="1" ht="14.4" x14ac:dyDescent="0.3">
      <c r="A259" s="195"/>
      <c r="B259" s="195"/>
      <c r="C259" s="400"/>
      <c r="D259" s="195"/>
      <c r="E259" s="219" t="s">
        <v>228</v>
      </c>
      <c r="F259" s="49"/>
      <c r="G259" s="223">
        <f>G255/G257</f>
        <v>0.52083333333333337</v>
      </c>
      <c r="H259" s="223">
        <f t="shared" ref="H259:I259" si="11">H255/H257</f>
        <v>0.52083333333333337</v>
      </c>
      <c r="I259" s="223">
        <f t="shared" si="11"/>
        <v>0.52083333333333337</v>
      </c>
      <c r="J259" s="195"/>
      <c r="K259" s="195"/>
      <c r="L259" s="401"/>
      <c r="M259" s="195"/>
      <c r="N259" s="195"/>
      <c r="O259" s="195"/>
      <c r="P259" s="49"/>
      <c r="Q259" s="49"/>
      <c r="R259" s="49"/>
      <c r="S259" s="49"/>
      <c r="T259" s="49"/>
      <c r="U259" s="49"/>
      <c r="V259" s="49"/>
      <c r="W259" s="49"/>
      <c r="X259" s="49"/>
    </row>
    <row r="260" spans="1:24" s="177" customFormat="1" ht="14.4" x14ac:dyDescent="0.3">
      <c r="A260" s="195"/>
      <c r="B260" s="195"/>
      <c r="C260" s="400"/>
      <c r="D260" s="195"/>
      <c r="E260" s="195"/>
      <c r="F260" s="49"/>
      <c r="G260" s="195"/>
      <c r="H260" s="49"/>
      <c r="I260" s="195"/>
      <c r="J260" s="195"/>
      <c r="K260" s="195"/>
      <c r="L260" s="401"/>
      <c r="M260" s="195"/>
      <c r="N260" s="195"/>
      <c r="O260" s="49"/>
      <c r="P260" s="49"/>
      <c r="Q260" s="49"/>
      <c r="R260" s="49"/>
      <c r="S260" s="49"/>
      <c r="T260" s="49"/>
      <c r="U260" s="49"/>
      <c r="V260" s="49"/>
      <c r="W260" s="49"/>
      <c r="X260" s="49"/>
    </row>
    <row r="261" spans="1:24" s="177" customFormat="1" ht="15" thickBot="1" x14ac:dyDescent="0.35">
      <c r="A261" s="195"/>
      <c r="B261" s="195"/>
      <c r="C261" s="400"/>
      <c r="D261" s="195"/>
      <c r="E261" s="195"/>
      <c r="F261" s="195"/>
      <c r="G261" s="195"/>
      <c r="H261" s="195"/>
      <c r="I261" s="195"/>
      <c r="J261" s="195"/>
      <c r="K261" s="195"/>
      <c r="L261" s="401"/>
      <c r="M261" s="195"/>
      <c r="N261" s="195"/>
      <c r="O261" s="49"/>
      <c r="P261" s="49"/>
      <c r="Q261" s="49"/>
      <c r="R261" s="49"/>
      <c r="S261" s="49"/>
      <c r="T261" s="49"/>
      <c r="U261" s="49"/>
      <c r="V261" s="49"/>
      <c r="W261" s="49"/>
      <c r="X261" s="49"/>
    </row>
    <row r="262" spans="1:24" s="177" customFormat="1" ht="14.4" x14ac:dyDescent="0.3">
      <c r="A262" s="195"/>
      <c r="B262" s="195"/>
      <c r="C262" s="400"/>
      <c r="D262" s="195"/>
      <c r="E262" s="561" t="s">
        <v>282</v>
      </c>
      <c r="F262" s="195"/>
      <c r="G262" s="563" t="s">
        <v>240</v>
      </c>
      <c r="H262" s="564"/>
      <c r="I262" s="564"/>
      <c r="J262" s="564"/>
      <c r="K262" s="565"/>
      <c r="L262" s="401"/>
      <c r="M262" s="195"/>
      <c r="N262" s="49"/>
      <c r="O262" s="49"/>
      <c r="P262" s="49"/>
      <c r="Q262" s="49"/>
      <c r="R262" s="49"/>
      <c r="S262" s="49"/>
      <c r="T262" s="49"/>
      <c r="U262" s="49"/>
      <c r="V262" s="49"/>
      <c r="W262" s="49"/>
      <c r="X262" s="49"/>
    </row>
    <row r="263" spans="1:24" s="177" customFormat="1" ht="14.4" x14ac:dyDescent="0.3">
      <c r="A263" s="195"/>
      <c r="B263" s="195"/>
      <c r="C263" s="400"/>
      <c r="D263" s="195"/>
      <c r="E263" s="561"/>
      <c r="F263" s="195"/>
      <c r="G263" s="202" t="s">
        <v>55</v>
      </c>
      <c r="H263" s="224" t="s">
        <v>241</v>
      </c>
      <c r="I263" s="224" t="s">
        <v>242</v>
      </c>
      <c r="J263" s="224" t="s">
        <v>243</v>
      </c>
      <c r="K263" s="198" t="s">
        <v>244</v>
      </c>
      <c r="L263" s="401"/>
      <c r="M263" s="195"/>
      <c r="N263" s="49"/>
      <c r="O263" s="195"/>
      <c r="P263" s="49"/>
      <c r="Q263" s="49"/>
      <c r="R263" s="49"/>
      <c r="S263" s="49"/>
      <c r="T263" s="49"/>
      <c r="U263" s="49"/>
      <c r="V263" s="49"/>
      <c r="W263" s="49"/>
      <c r="X263" s="49"/>
    </row>
    <row r="264" spans="1:24" s="177" customFormat="1" ht="15" thickBot="1" x14ac:dyDescent="0.35">
      <c r="A264" s="195"/>
      <c r="B264" s="195"/>
      <c r="C264" s="400"/>
      <c r="D264" s="195"/>
      <c r="E264" s="561"/>
      <c r="F264" s="195"/>
      <c r="G264" s="233" t="s">
        <v>56</v>
      </c>
      <c r="H264" s="226">
        <f>IFERROR(VLOOKUP(G264,FabricMapping!$F$39:$J$43,4,FALSE),0)</f>
        <v>4</v>
      </c>
      <c r="I264" s="226">
        <f>IFERROR(VLOOKUP(G264,FabricMapping!$F$39:$J$43,5,FALSE),0)</f>
        <v>60</v>
      </c>
      <c r="J264" s="226">
        <f>IFERROR((FabricMapping!$U$31*2)/$H$114,0)</f>
        <v>32</v>
      </c>
      <c r="K264" s="227">
        <f>J264*H264</f>
        <v>128</v>
      </c>
      <c r="L264" s="401"/>
      <c r="M264" s="195"/>
      <c r="N264" s="228"/>
      <c r="O264" s="195"/>
      <c r="P264" s="49"/>
      <c r="Q264" s="49"/>
      <c r="R264" s="49"/>
      <c r="S264" s="49"/>
      <c r="T264" s="49"/>
      <c r="U264" s="49"/>
      <c r="V264" s="49"/>
      <c r="W264" s="49"/>
      <c r="X264" s="49"/>
    </row>
    <row r="265" spans="1:24" s="177" customFormat="1" ht="14.4" x14ac:dyDescent="0.3">
      <c r="A265" s="195"/>
      <c r="B265" s="195"/>
      <c r="C265" s="400"/>
      <c r="D265" s="195"/>
      <c r="E265" s="561"/>
      <c r="F265" s="195"/>
      <c r="G265" s="195"/>
      <c r="H265" s="195"/>
      <c r="I265" s="195"/>
      <c r="J265" s="195"/>
      <c r="K265" s="195"/>
      <c r="L265" s="401"/>
      <c r="M265" s="195"/>
      <c r="N265" s="49"/>
      <c r="O265" s="195"/>
      <c r="P265" s="49"/>
      <c r="Q265" s="49"/>
      <c r="R265" s="49"/>
      <c r="S265" s="49"/>
      <c r="T265" s="49"/>
      <c r="U265" s="49"/>
      <c r="V265" s="49"/>
      <c r="W265" s="49"/>
      <c r="X265" s="49"/>
    </row>
    <row r="266" spans="1:24" s="177" customFormat="1" ht="15" thickBot="1" x14ac:dyDescent="0.35">
      <c r="A266" s="195"/>
      <c r="B266" s="195"/>
      <c r="C266" s="400"/>
      <c r="D266" s="195"/>
      <c r="E266" s="561"/>
      <c r="F266" s="195"/>
      <c r="G266" s="195"/>
      <c r="H266" s="195"/>
      <c r="I266" s="195"/>
      <c r="J266" s="195"/>
      <c r="K266" s="195"/>
      <c r="L266" s="401"/>
      <c r="M266" s="195"/>
      <c r="N266" s="49"/>
      <c r="O266" s="195"/>
      <c r="P266" s="49"/>
      <c r="Q266" s="49"/>
      <c r="R266" s="49"/>
      <c r="S266" s="49"/>
      <c r="T266" s="49"/>
      <c r="U266" s="49"/>
      <c r="V266" s="49"/>
      <c r="W266" s="49"/>
      <c r="X266" s="49"/>
    </row>
    <row r="267" spans="1:24" s="177" customFormat="1" ht="14.4" x14ac:dyDescent="0.3">
      <c r="A267" s="195"/>
      <c r="B267" s="195"/>
      <c r="C267" s="400"/>
      <c r="D267" s="195"/>
      <c r="E267" s="561"/>
      <c r="F267" s="195"/>
      <c r="G267" s="563" t="str">
        <f>"Model Scoring ("&amp;G264&amp;" Spark Cluster)"</f>
        <v>Model Scoring (Medium (8 vCore, 64 Mem) Spark Cluster)</v>
      </c>
      <c r="H267" s="564"/>
      <c r="I267" s="564"/>
      <c r="J267" s="564"/>
      <c r="K267" s="565"/>
      <c r="L267" s="401"/>
      <c r="M267" s="195"/>
      <c r="N267" s="49"/>
      <c r="O267" s="195"/>
      <c r="P267" s="49"/>
      <c r="Q267" s="49"/>
      <c r="R267" s="49"/>
      <c r="S267" s="49"/>
      <c r="T267" s="49"/>
      <c r="U267" s="49"/>
      <c r="V267" s="49"/>
      <c r="W267" s="49"/>
      <c r="X267" s="49"/>
    </row>
    <row r="268" spans="1:24" s="177" customFormat="1" ht="18.75" customHeight="1" x14ac:dyDescent="0.3">
      <c r="A268" s="195"/>
      <c r="B268" s="195"/>
      <c r="C268" s="400"/>
      <c r="D268" s="195"/>
      <c r="E268" s="561"/>
      <c r="F268" s="195"/>
      <c r="G268" s="202" t="s">
        <v>284</v>
      </c>
      <c r="H268" s="249" t="s">
        <v>285</v>
      </c>
      <c r="I268" s="224" t="s">
        <v>286</v>
      </c>
      <c r="J268" s="567" t="s">
        <v>248</v>
      </c>
      <c r="K268" s="568"/>
      <c r="L268" s="401"/>
      <c r="M268" s="195"/>
      <c r="N268" s="49"/>
      <c r="O268" s="195"/>
      <c r="P268" s="49"/>
      <c r="Q268" s="49"/>
      <c r="R268" s="49"/>
      <c r="S268" s="49"/>
      <c r="T268" s="49"/>
      <c r="U268" s="49"/>
      <c r="V268" s="49"/>
      <c r="W268" s="49"/>
      <c r="X268" s="49"/>
    </row>
    <row r="269" spans="1:24" s="177" customFormat="1" ht="15" thickBot="1" x14ac:dyDescent="0.35">
      <c r="A269" s="195"/>
      <c r="B269" s="195"/>
      <c r="C269" s="400"/>
      <c r="D269" s="195"/>
      <c r="E269" s="561"/>
      <c r="F269" s="195"/>
      <c r="G269" s="257">
        <f>G22</f>
        <v>2</v>
      </c>
      <c r="H269" s="238">
        <f>IFERROR($K$46/G269,0)</f>
        <v>2700</v>
      </c>
      <c r="I269" s="238">
        <f>($G$19*60)*0.25</f>
        <v>120</v>
      </c>
      <c r="J269" s="570">
        <f>IFERROR(((ROUNDUP(H269/I264,0)+1)*H264)*I269,0)</f>
        <v>22080</v>
      </c>
      <c r="K269" s="571"/>
      <c r="L269" s="401"/>
      <c r="M269" s="195"/>
      <c r="N269" s="228"/>
      <c r="O269" s="195"/>
      <c r="P269" s="49"/>
      <c r="Q269" s="49"/>
      <c r="R269" s="49"/>
      <c r="S269" s="49"/>
      <c r="T269" s="49"/>
      <c r="U269" s="49"/>
      <c r="V269" s="49"/>
      <c r="W269" s="49"/>
      <c r="X269" s="49"/>
    </row>
    <row r="270" spans="1:24" s="177" customFormat="1" ht="15.6" x14ac:dyDescent="0.3">
      <c r="A270" s="195"/>
      <c r="B270" s="195"/>
      <c r="C270" s="400"/>
      <c r="D270" s="195"/>
      <c r="E270" s="561"/>
      <c r="F270" s="195"/>
      <c r="G270" s="240" t="s">
        <v>250</v>
      </c>
      <c r="H270" s="195"/>
      <c r="I270" s="195"/>
      <c r="J270" s="195"/>
      <c r="K270" s="195"/>
      <c r="L270" s="401"/>
      <c r="M270" s="195"/>
      <c r="N270" s="49"/>
      <c r="O270" s="195"/>
      <c r="P270" s="49"/>
      <c r="Q270" s="49"/>
      <c r="R270" s="49"/>
      <c r="S270" s="49"/>
      <c r="T270" s="49"/>
      <c r="U270" s="49"/>
      <c r="V270" s="49"/>
      <c r="W270" s="49"/>
      <c r="X270" s="49"/>
    </row>
    <row r="271" spans="1:24" s="177" customFormat="1" ht="14.4" x14ac:dyDescent="0.3">
      <c r="A271" s="195"/>
      <c r="B271" s="195"/>
      <c r="C271" s="400"/>
      <c r="D271" s="195"/>
      <c r="E271" s="195"/>
      <c r="F271" s="195"/>
      <c r="G271" s="195"/>
      <c r="H271" s="195"/>
      <c r="I271" s="195"/>
      <c r="J271" s="195"/>
      <c r="K271" s="195"/>
      <c r="L271" s="401"/>
      <c r="M271" s="195"/>
      <c r="N271" s="49"/>
      <c r="O271" s="195"/>
      <c r="P271" s="49"/>
      <c r="Q271" s="49"/>
      <c r="R271" s="49"/>
      <c r="S271" s="49"/>
      <c r="T271" s="49"/>
      <c r="U271" s="49"/>
      <c r="V271" s="49"/>
      <c r="W271" s="49"/>
      <c r="X271" s="49"/>
    </row>
    <row r="272" spans="1:24" s="177" customFormat="1" ht="14.4" x14ac:dyDescent="0.3">
      <c r="A272" s="195"/>
      <c r="B272" s="195"/>
      <c r="C272" s="400"/>
      <c r="D272" s="195"/>
      <c r="E272" s="195"/>
      <c r="F272" s="195"/>
      <c r="G272" s="195"/>
      <c r="H272" s="195"/>
      <c r="I272" s="195"/>
      <c r="J272" s="195"/>
      <c r="K272" s="195"/>
      <c r="L272" s="401"/>
      <c r="M272" s="195"/>
      <c r="N272" s="49"/>
      <c r="O272" s="195"/>
      <c r="P272" s="49"/>
      <c r="Q272" s="49"/>
      <c r="R272" s="49"/>
      <c r="S272" s="49"/>
      <c r="T272" s="49"/>
      <c r="U272" s="49"/>
      <c r="V272" s="49"/>
      <c r="W272" s="49"/>
      <c r="X272" s="49"/>
    </row>
    <row r="273" spans="1:24" s="177" customFormat="1" ht="15" thickBot="1" x14ac:dyDescent="0.35">
      <c r="A273" s="195"/>
      <c r="B273" s="195"/>
      <c r="C273" s="400"/>
      <c r="D273" s="195"/>
      <c r="E273" s="195"/>
      <c r="F273" s="195"/>
      <c r="G273" s="195"/>
      <c r="H273" s="195"/>
      <c r="I273" s="195"/>
      <c r="J273" s="195"/>
      <c r="K273" s="195"/>
      <c r="L273" s="401"/>
      <c r="M273" s="195"/>
      <c r="N273" s="49"/>
      <c r="O273" s="195"/>
      <c r="P273" s="49"/>
      <c r="Q273" s="49"/>
      <c r="R273" s="49"/>
      <c r="S273" s="49"/>
      <c r="T273" s="49"/>
      <c r="U273" s="49"/>
      <c r="V273" s="49"/>
      <c r="W273" s="49"/>
      <c r="X273" s="49"/>
    </row>
    <row r="274" spans="1:24" s="177" customFormat="1" ht="14.4" x14ac:dyDescent="0.3">
      <c r="A274" s="195"/>
      <c r="B274" s="195"/>
      <c r="C274" s="400"/>
      <c r="D274" s="195"/>
      <c r="E274" s="561" t="s">
        <v>287</v>
      </c>
      <c r="F274" s="195"/>
      <c r="G274" s="563" t="str">
        <f>"Exploratory Data Science ("&amp;G264&amp;" Spark Cluster)"</f>
        <v>Exploratory Data Science (Medium (8 vCore, 64 Mem) Spark Cluster)</v>
      </c>
      <c r="H274" s="564"/>
      <c r="I274" s="564"/>
      <c r="J274" s="564"/>
      <c r="K274" s="565"/>
      <c r="L274" s="401"/>
      <c r="M274" s="195"/>
      <c r="N274" s="49"/>
      <c r="O274" s="195"/>
      <c r="P274" s="49"/>
      <c r="Q274" s="49"/>
      <c r="R274" s="49"/>
      <c r="S274" s="49"/>
      <c r="T274" s="49"/>
      <c r="U274" s="49"/>
      <c r="V274" s="49"/>
      <c r="W274" s="49"/>
      <c r="X274" s="49"/>
    </row>
    <row r="275" spans="1:24" s="177" customFormat="1" ht="18.75" customHeight="1" x14ac:dyDescent="0.3">
      <c r="A275" s="195"/>
      <c r="B275" s="195"/>
      <c r="C275" s="400"/>
      <c r="D275" s="195"/>
      <c r="E275" s="561"/>
      <c r="F275" s="195"/>
      <c r="G275" s="202" t="s">
        <v>288</v>
      </c>
      <c r="H275" s="567" t="s">
        <v>286</v>
      </c>
      <c r="I275" s="567"/>
      <c r="J275" s="567" t="s">
        <v>248</v>
      </c>
      <c r="K275" s="568"/>
      <c r="L275" s="401"/>
      <c r="M275" s="195"/>
      <c r="N275" s="49"/>
      <c r="O275" s="195"/>
      <c r="P275" s="49"/>
      <c r="Q275" s="49"/>
      <c r="R275" s="49"/>
      <c r="S275" s="49"/>
      <c r="T275" s="49"/>
      <c r="U275" s="49"/>
      <c r="V275" s="49"/>
      <c r="W275" s="49"/>
      <c r="X275" s="49"/>
    </row>
    <row r="276" spans="1:24" s="177" customFormat="1" ht="15" thickBot="1" x14ac:dyDescent="0.35">
      <c r="A276" s="195"/>
      <c r="B276" s="195"/>
      <c r="C276" s="400"/>
      <c r="D276" s="195"/>
      <c r="E276" s="561"/>
      <c r="F276" s="195"/>
      <c r="G276" s="257">
        <f>G23</f>
        <v>2</v>
      </c>
      <c r="H276" s="599">
        <f>($G$19*60)/2</f>
        <v>240</v>
      </c>
      <c r="I276" s="599"/>
      <c r="J276" s="570">
        <f>(G276*H264)*H276</f>
        <v>1920</v>
      </c>
      <c r="K276" s="571"/>
      <c r="L276" s="401"/>
      <c r="M276" s="195"/>
      <c r="N276" s="228"/>
      <c r="O276" s="195"/>
      <c r="P276" s="49"/>
      <c r="Q276" s="49"/>
      <c r="R276" s="49"/>
      <c r="S276" s="49"/>
      <c r="T276" s="49"/>
      <c r="U276" s="49"/>
      <c r="V276" s="49"/>
      <c r="W276" s="49"/>
      <c r="X276" s="49"/>
    </row>
    <row r="277" spans="1:24" s="177" customFormat="1" ht="15" thickBot="1" x14ac:dyDescent="0.35">
      <c r="A277" s="195"/>
      <c r="B277" s="195"/>
      <c r="C277" s="409"/>
      <c r="D277" s="408"/>
      <c r="E277" s="408"/>
      <c r="F277" s="408"/>
      <c r="G277" s="408"/>
      <c r="H277" s="408"/>
      <c r="I277" s="408"/>
      <c r="J277" s="408"/>
      <c r="K277" s="408"/>
      <c r="L277" s="410"/>
      <c r="M277" s="195"/>
      <c r="N277" s="49"/>
      <c r="O277" s="195"/>
      <c r="P277" s="49"/>
      <c r="Q277" s="49"/>
      <c r="R277" s="49"/>
      <c r="S277" s="49"/>
      <c r="T277" s="49"/>
      <c r="U277" s="49"/>
      <c r="V277" s="49"/>
      <c r="W277" s="49"/>
      <c r="X277" s="49"/>
    </row>
    <row r="278" spans="1:24" s="177" customFormat="1" ht="14.4" x14ac:dyDescent="0.3">
      <c r="A278" s="195"/>
      <c r="B278" s="195"/>
      <c r="C278" s="195"/>
      <c r="D278" s="195"/>
      <c r="E278" s="195"/>
      <c r="F278" s="195"/>
      <c r="G278" s="195"/>
      <c r="H278" s="195"/>
      <c r="I278" s="195"/>
      <c r="J278" s="195"/>
      <c r="K278" s="195"/>
      <c r="L278" s="195"/>
      <c r="M278" s="195"/>
      <c r="N278" s="49"/>
      <c r="O278" s="195"/>
      <c r="P278" s="49"/>
      <c r="Q278" s="49"/>
      <c r="R278" s="49"/>
      <c r="S278" s="49"/>
      <c r="T278" s="49"/>
      <c r="U278" s="49"/>
      <c r="V278" s="49"/>
      <c r="W278" s="49"/>
      <c r="X278" s="49"/>
    </row>
    <row r="279" spans="1:24" s="177" customFormat="1" ht="14.4" x14ac:dyDescent="0.3">
      <c r="A279" s="195"/>
      <c r="B279" s="195"/>
      <c r="C279" s="195"/>
      <c r="D279" s="195"/>
      <c r="E279" s="195"/>
      <c r="F279" s="195"/>
      <c r="G279" s="195"/>
      <c r="H279" s="195"/>
      <c r="I279" s="195"/>
      <c r="J279" s="195"/>
      <c r="K279" s="195"/>
      <c r="L279" s="195"/>
      <c r="M279" s="195"/>
      <c r="N279" s="195"/>
      <c r="O279" s="195"/>
      <c r="P279" s="195"/>
      <c r="Q279" s="195"/>
      <c r="R279" s="195"/>
      <c r="S279" s="195"/>
      <c r="T279" s="195"/>
      <c r="U279" s="195"/>
      <c r="V279" s="195"/>
      <c r="W279" s="195"/>
      <c r="X279" s="195"/>
    </row>
    <row r="280" spans="1:24" s="177" customFormat="1" ht="14.4" x14ac:dyDescent="0.3">
      <c r="A280" s="195"/>
      <c r="B280" s="195"/>
      <c r="C280" s="195"/>
      <c r="D280" s="195"/>
      <c r="E280" s="195"/>
      <c r="F280" s="195"/>
      <c r="G280" s="195"/>
      <c r="H280" s="195"/>
      <c r="I280" s="195"/>
      <c r="J280" s="195"/>
      <c r="K280" s="195"/>
      <c r="L280" s="195"/>
      <c r="M280" s="195"/>
      <c r="N280" s="195"/>
      <c r="O280" s="195"/>
      <c r="P280" s="195"/>
      <c r="Q280" s="195"/>
      <c r="R280" s="195"/>
      <c r="S280" s="195"/>
      <c r="T280" s="195"/>
      <c r="U280" s="195"/>
      <c r="V280" s="195"/>
      <c r="W280" s="195"/>
      <c r="X280" s="195"/>
    </row>
    <row r="281" spans="1:24" s="177" customFormat="1" ht="14.4" x14ac:dyDescent="0.3">
      <c r="A281" s="195"/>
      <c r="B281" s="195"/>
      <c r="C281" s="195"/>
      <c r="D281" s="195"/>
      <c r="E281" s="195"/>
      <c r="F281" s="195"/>
      <c r="G281" s="195"/>
      <c r="H281" s="195"/>
      <c r="I281" s="195"/>
      <c r="J281" s="195"/>
      <c r="K281" s="195"/>
      <c r="L281" s="195"/>
      <c r="M281" s="195"/>
      <c r="N281" s="195"/>
      <c r="O281" s="195"/>
      <c r="P281" s="195"/>
      <c r="Q281" s="195"/>
      <c r="R281" s="195"/>
      <c r="S281" s="195"/>
      <c r="T281" s="195"/>
      <c r="U281" s="195"/>
      <c r="V281" s="195"/>
      <c r="W281" s="195"/>
      <c r="X281" s="195"/>
    </row>
    <row r="282" spans="1:24" s="177" customFormat="1" ht="15" thickBot="1" x14ac:dyDescent="0.35">
      <c r="A282" s="195"/>
      <c r="B282" s="195"/>
      <c r="C282" s="195"/>
      <c r="D282" s="195"/>
      <c r="E282" s="195"/>
      <c r="F282" s="195"/>
      <c r="G282" s="195"/>
      <c r="H282" s="195"/>
      <c r="I282" s="195"/>
      <c r="J282" s="195"/>
      <c r="K282" s="195"/>
      <c r="L282" s="195"/>
      <c r="M282" s="195"/>
      <c r="N282" s="195"/>
      <c r="O282" s="195"/>
      <c r="P282" s="195"/>
      <c r="Q282" s="195"/>
      <c r="R282" s="195"/>
      <c r="S282" s="195"/>
      <c r="T282" s="195"/>
      <c r="U282" s="195"/>
      <c r="V282" s="195"/>
      <c r="W282" s="195"/>
      <c r="X282" s="195"/>
    </row>
    <row r="283" spans="1:24" s="177" customFormat="1" ht="23.4" x14ac:dyDescent="0.45">
      <c r="A283" s="195"/>
      <c r="B283" s="195"/>
      <c r="C283" s="188" t="s">
        <v>289</v>
      </c>
      <c r="D283" s="398"/>
      <c r="E283" s="398"/>
      <c r="F283" s="398"/>
      <c r="G283" s="398"/>
      <c r="H283" s="398"/>
      <c r="I283" s="398"/>
      <c r="J283" s="398"/>
      <c r="K283" s="398"/>
      <c r="L283" s="399"/>
      <c r="M283" s="195"/>
      <c r="N283" s="195"/>
      <c r="O283" s="195"/>
      <c r="P283" s="49"/>
      <c r="Q283" s="49"/>
      <c r="R283" s="49"/>
      <c r="S283" s="49"/>
      <c r="T283" s="49"/>
      <c r="U283" s="49"/>
      <c r="V283" s="49"/>
      <c r="W283" s="49"/>
      <c r="X283" s="49"/>
    </row>
    <row r="284" spans="1:24" s="177" customFormat="1" ht="14.4" x14ac:dyDescent="0.3">
      <c r="A284" s="195"/>
      <c r="B284" s="195"/>
      <c r="C284" s="400"/>
      <c r="D284" s="195"/>
      <c r="E284" s="195"/>
      <c r="F284" s="195"/>
      <c r="G284" s="195"/>
      <c r="H284" s="195"/>
      <c r="I284" s="195"/>
      <c r="J284" s="195"/>
      <c r="K284" s="195"/>
      <c r="L284" s="401"/>
      <c r="M284" s="195"/>
      <c r="N284" s="195"/>
      <c r="O284" s="195"/>
      <c r="P284" s="49"/>
      <c r="Q284" s="49"/>
      <c r="R284" s="49"/>
      <c r="S284" s="49"/>
      <c r="T284" s="49"/>
      <c r="U284" s="49"/>
      <c r="V284" s="49"/>
      <c r="W284" s="49"/>
      <c r="X284" s="49"/>
    </row>
    <row r="285" spans="1:24" s="177" customFormat="1" ht="15" thickBot="1" x14ac:dyDescent="0.35">
      <c r="A285" s="195"/>
      <c r="B285" s="195"/>
      <c r="C285" s="400"/>
      <c r="D285" s="195"/>
      <c r="E285" s="195"/>
      <c r="F285" s="195"/>
      <c r="G285" s="195"/>
      <c r="H285" s="195"/>
      <c r="I285" s="195"/>
      <c r="J285" s="195"/>
      <c r="K285" s="195"/>
      <c r="L285" s="401"/>
      <c r="M285" s="195"/>
      <c r="N285" s="195"/>
      <c r="O285" s="195"/>
      <c r="P285" s="49"/>
      <c r="Q285" s="49"/>
      <c r="R285" s="49"/>
      <c r="S285" s="49"/>
      <c r="T285" s="49"/>
      <c r="U285" s="49"/>
      <c r="V285" s="49"/>
      <c r="W285" s="49"/>
      <c r="X285" s="49"/>
    </row>
    <row r="286" spans="1:24" s="177" customFormat="1" ht="28.8" x14ac:dyDescent="0.3">
      <c r="A286" s="195"/>
      <c r="B286" s="195"/>
      <c r="C286" s="400"/>
      <c r="D286" s="195"/>
      <c r="E286" s="195"/>
      <c r="F286" s="195"/>
      <c r="G286" s="216" t="s">
        <v>222</v>
      </c>
      <c r="H286" s="216" t="s">
        <v>223</v>
      </c>
      <c r="I286" s="216" t="s">
        <v>224</v>
      </c>
      <c r="J286" s="195"/>
      <c r="K286" s="195"/>
      <c r="L286" s="401"/>
      <c r="M286" s="195"/>
      <c r="N286" s="195"/>
      <c r="O286" s="195"/>
      <c r="P286" s="49"/>
      <c r="Q286" s="49"/>
      <c r="R286" s="49"/>
      <c r="S286" s="49"/>
      <c r="T286" s="49"/>
      <c r="U286" s="49"/>
      <c r="V286" s="49"/>
      <c r="W286" s="49"/>
      <c r="X286" s="49"/>
    </row>
    <row r="287" spans="1:24" s="177" customFormat="1" ht="14.4" x14ac:dyDescent="0.3">
      <c r="A287" s="195"/>
      <c r="B287" s="195"/>
      <c r="C287" s="400"/>
      <c r="D287" s="195"/>
      <c r="E287" s="217" t="s">
        <v>290</v>
      </c>
      <c r="F287" s="49"/>
      <c r="G287" s="218">
        <f>K299+K311+K317</f>
        <v>26498</v>
      </c>
      <c r="H287" s="218">
        <f>G287*7</f>
        <v>185486</v>
      </c>
      <c r="I287" s="218">
        <f>H287*52/12</f>
        <v>803772.66666666663</v>
      </c>
      <c r="J287" s="195"/>
      <c r="K287" s="195"/>
      <c r="L287" s="401"/>
      <c r="M287" s="195"/>
      <c r="N287" s="195"/>
      <c r="O287" s="195"/>
      <c r="P287" s="49"/>
      <c r="Q287" s="49"/>
      <c r="R287" s="49"/>
      <c r="S287" s="49"/>
      <c r="T287" s="49"/>
      <c r="U287" s="49"/>
      <c r="V287" s="49"/>
      <c r="W287" s="49"/>
      <c r="X287" s="49"/>
    </row>
    <row r="288" spans="1:24" s="177" customFormat="1" ht="14.4" x14ac:dyDescent="0.3">
      <c r="A288" s="195"/>
      <c r="B288" s="195"/>
      <c r="C288" s="400"/>
      <c r="D288" s="195"/>
      <c r="E288" s="219" t="s">
        <v>225</v>
      </c>
      <c r="F288" s="49"/>
      <c r="G288" s="220" t="str">
        <f>VLOOKUP(G287,FabricMapping!$C$11:$F$21,4,1)</f>
        <v>F32</v>
      </c>
      <c r="H288" s="220" t="str">
        <f>VLOOKUP(H287,FabricMapping!$D$11:$F$21,3,1)</f>
        <v>F32</v>
      </c>
      <c r="I288" s="220" t="str">
        <f>VLOOKUP(I287,FabricMapping!$E$11:$F$21,2,1)</f>
        <v>F32</v>
      </c>
      <c r="J288" s="195"/>
      <c r="K288" s="195"/>
      <c r="L288" s="401"/>
      <c r="M288" s="195"/>
      <c r="N288" s="195"/>
      <c r="O288" s="195"/>
      <c r="P288" s="49"/>
      <c r="Q288" s="49"/>
      <c r="R288" s="49"/>
      <c r="S288" s="49"/>
      <c r="T288" s="49"/>
      <c r="U288" s="49"/>
      <c r="V288" s="49"/>
      <c r="W288" s="49"/>
      <c r="X288" s="49"/>
    </row>
    <row r="289" spans="2:24" s="177" customFormat="1" ht="14.4" x14ac:dyDescent="0.3">
      <c r="B289" s="195"/>
      <c r="C289" s="400"/>
      <c r="D289" s="195"/>
      <c r="E289" s="219" t="s">
        <v>226</v>
      </c>
      <c r="F289" s="49"/>
      <c r="G289" s="218">
        <f>VLOOKUP(G288,FabricMapping!$F$10:$J$21,3,0)</f>
        <v>46080</v>
      </c>
      <c r="H289" s="218">
        <f>VLOOKUP(H288,FabricMapping!$F$10:$J$21,4,0)</f>
        <v>322560</v>
      </c>
      <c r="I289" s="218">
        <f>VLOOKUP(I288,FabricMapping!$F$10:$J$21,5,0)</f>
        <v>1397760</v>
      </c>
      <c r="J289" s="195"/>
      <c r="K289" s="195"/>
      <c r="L289" s="401"/>
      <c r="M289" s="195"/>
      <c r="N289" s="195"/>
      <c r="O289" s="195"/>
      <c r="P289" s="49"/>
      <c r="Q289" s="49"/>
      <c r="R289" s="49"/>
      <c r="S289" s="49"/>
      <c r="T289" s="49"/>
      <c r="U289" s="49"/>
      <c r="V289" s="49"/>
      <c r="W289" s="49"/>
      <c r="X289" s="49"/>
    </row>
    <row r="290" spans="2:24" s="177" customFormat="1" ht="18" hidden="1" x14ac:dyDescent="0.35">
      <c r="B290" s="221"/>
      <c r="C290" s="400"/>
      <c r="D290" s="195"/>
      <c r="E290" s="219" t="s">
        <v>227</v>
      </c>
      <c r="F290" s="49"/>
      <c r="G290" s="222">
        <f>G289*Cost_Setup!$F$7/60</f>
        <v>138.23999999999998</v>
      </c>
      <c r="H290" s="222">
        <f>H289*Cost_Setup!$F$7/60</f>
        <v>967.68</v>
      </c>
      <c r="I290" s="222">
        <f>I289*Cost_Setup!$F$7/60</f>
        <v>4193.28</v>
      </c>
      <c r="J290" s="195"/>
      <c r="K290" s="195"/>
      <c r="L290" s="401"/>
      <c r="M290" s="195"/>
      <c r="N290" s="195"/>
      <c r="O290" s="195"/>
      <c r="P290" s="49"/>
      <c r="Q290" s="49"/>
      <c r="R290" s="49"/>
      <c r="S290" s="49"/>
      <c r="T290" s="49"/>
      <c r="U290" s="49"/>
      <c r="V290" s="49"/>
      <c r="W290" s="49"/>
      <c r="X290" s="49"/>
    </row>
    <row r="291" spans="2:24" s="177" customFormat="1" ht="14.4" x14ac:dyDescent="0.3">
      <c r="B291" s="195"/>
      <c r="C291" s="400"/>
      <c r="D291" s="195"/>
      <c r="E291" s="219" t="s">
        <v>228</v>
      </c>
      <c r="F291" s="49"/>
      <c r="G291" s="223">
        <f>G287/G289</f>
        <v>0.57504340277777777</v>
      </c>
      <c r="H291" s="223">
        <f t="shared" ref="H291:I291" si="12">H287/H289</f>
        <v>0.57504340277777777</v>
      </c>
      <c r="I291" s="223">
        <f t="shared" si="12"/>
        <v>0.57504340277777777</v>
      </c>
      <c r="J291" s="195"/>
      <c r="K291" s="195"/>
      <c r="L291" s="401"/>
      <c r="M291" s="195"/>
      <c r="N291" s="195"/>
      <c r="O291" s="195"/>
      <c r="P291" s="49"/>
      <c r="Q291" s="49"/>
      <c r="R291" s="49"/>
      <c r="S291" s="49"/>
      <c r="T291" s="49"/>
      <c r="U291" s="49"/>
      <c r="V291" s="49"/>
      <c r="W291" s="49"/>
      <c r="X291" s="49"/>
    </row>
    <row r="292" spans="2:24" s="177" customFormat="1" ht="14.4" x14ac:dyDescent="0.3">
      <c r="B292" s="195"/>
      <c r="C292" s="400"/>
      <c r="D292" s="195"/>
      <c r="E292" s="195"/>
      <c r="F292" s="195"/>
      <c r="G292" s="195"/>
      <c r="H292" s="195"/>
      <c r="I292" s="195"/>
      <c r="J292" s="195"/>
      <c r="K292" s="195"/>
      <c r="L292" s="401"/>
      <c r="M292" s="195"/>
      <c r="N292" s="195"/>
      <c r="O292" s="195"/>
      <c r="P292" s="195"/>
      <c r="Q292" s="195"/>
      <c r="R292" s="195"/>
      <c r="S292" s="195"/>
      <c r="T292" s="195"/>
      <c r="U292" s="195"/>
      <c r="V292" s="195"/>
      <c r="W292" s="195"/>
      <c r="X292" s="195"/>
    </row>
    <row r="293" spans="2:24" s="177" customFormat="1" ht="15" thickBot="1" x14ac:dyDescent="0.35">
      <c r="B293" s="195"/>
      <c r="C293" s="400"/>
      <c r="D293" s="195"/>
      <c r="E293" s="195"/>
      <c r="F293" s="195"/>
      <c r="G293" s="195"/>
      <c r="H293" s="195"/>
      <c r="I293" s="195"/>
      <c r="J293" s="195"/>
      <c r="K293" s="195"/>
      <c r="L293" s="401"/>
      <c r="M293" s="195"/>
      <c r="N293" s="195"/>
      <c r="O293" s="195"/>
      <c r="P293" s="195"/>
      <c r="Q293" s="195"/>
      <c r="R293" s="195"/>
      <c r="S293" s="195"/>
      <c r="T293" s="195"/>
      <c r="U293" s="195"/>
      <c r="V293" s="195"/>
      <c r="W293" s="195"/>
      <c r="X293" s="195"/>
    </row>
    <row r="294" spans="2:24" s="177" customFormat="1" ht="15" customHeight="1" x14ac:dyDescent="0.3">
      <c r="B294" s="195"/>
      <c r="C294" s="400"/>
      <c r="D294" s="195"/>
      <c r="E294" s="561" t="s">
        <v>150</v>
      </c>
      <c r="F294" s="195"/>
      <c r="G294" s="563" t="s">
        <v>291</v>
      </c>
      <c r="H294" s="564"/>
      <c r="I294" s="564"/>
      <c r="J294" s="564"/>
      <c r="K294" s="565"/>
      <c r="L294" s="401"/>
      <c r="M294" s="195"/>
      <c r="N294" s="258"/>
      <c r="O294" s="259"/>
      <c r="P294" s="260"/>
      <c r="Q294" s="195"/>
      <c r="R294" s="195"/>
      <c r="S294" s="195"/>
      <c r="T294" s="195"/>
      <c r="U294" s="195"/>
      <c r="V294" s="195"/>
      <c r="W294" s="195"/>
      <c r="X294" s="195"/>
    </row>
    <row r="295" spans="2:24" s="177" customFormat="1" ht="28.8" x14ac:dyDescent="0.3">
      <c r="B295" s="195"/>
      <c r="C295" s="400"/>
      <c r="D295" s="195"/>
      <c r="E295" s="561"/>
      <c r="F295" s="195"/>
      <c r="G295" s="261" t="s">
        <v>292</v>
      </c>
      <c r="H295" s="262" t="s">
        <v>293</v>
      </c>
      <c r="I295" s="262" t="s">
        <v>294</v>
      </c>
      <c r="J295" s="263" t="s">
        <v>295</v>
      </c>
      <c r="K295" s="264" t="s">
        <v>296</v>
      </c>
      <c r="L295" s="401"/>
      <c r="M295" s="195"/>
      <c r="N295" s="258"/>
      <c r="O295" s="49"/>
      <c r="P295" s="260"/>
      <c r="Q295" s="195"/>
      <c r="R295" s="195"/>
      <c r="S295" s="195"/>
      <c r="T295" s="195"/>
      <c r="U295" s="195"/>
      <c r="V295" s="195"/>
      <c r="W295" s="195"/>
      <c r="X295" s="195"/>
    </row>
    <row r="296" spans="2:24" s="177" customFormat="1" ht="15" customHeight="1" thickBot="1" x14ac:dyDescent="0.35">
      <c r="B296" s="195"/>
      <c r="C296" s="400"/>
      <c r="D296" s="195"/>
      <c r="E296" s="561"/>
      <c r="F296" s="195"/>
      <c r="G296" s="237">
        <f>G24</f>
        <v>100</v>
      </c>
      <c r="H296" s="226">
        <f>G25</f>
        <v>5</v>
      </c>
      <c r="I296" s="265">
        <v>2</v>
      </c>
      <c r="J296" s="226">
        <f>IFERROR((24*60)/H296*G296,0)</f>
        <v>28800</v>
      </c>
      <c r="K296" s="266">
        <f>(J296*I296)/(1024*1024)</f>
        <v>5.4931640625E-2</v>
      </c>
      <c r="L296" s="401"/>
      <c r="M296" s="195"/>
      <c r="N296" s="258"/>
      <c r="O296" s="49"/>
      <c r="P296" s="260"/>
      <c r="Q296" s="195"/>
      <c r="R296" s="195"/>
      <c r="S296" s="195"/>
      <c r="T296" s="195"/>
      <c r="U296" s="195"/>
      <c r="V296" s="195"/>
      <c r="W296" s="195"/>
      <c r="X296" s="195"/>
    </row>
    <row r="297" spans="2:24" s="177" customFormat="1" ht="15" thickBot="1" x14ac:dyDescent="0.35">
      <c r="B297" s="195"/>
      <c r="C297" s="400"/>
      <c r="D297" s="195"/>
      <c r="E297" s="561"/>
      <c r="F297" s="195"/>
      <c r="G297" s="49"/>
      <c r="H297" s="49"/>
      <c r="I297" s="49"/>
      <c r="J297" s="49"/>
      <c r="K297" s="49"/>
      <c r="L297" s="401"/>
      <c r="M297" s="195"/>
      <c r="N297" s="49"/>
      <c r="O297" s="49"/>
      <c r="P297" s="260"/>
      <c r="Q297" s="195"/>
      <c r="R297" s="195"/>
      <c r="S297" s="195"/>
      <c r="T297" s="195"/>
      <c r="U297" s="195"/>
      <c r="V297" s="195"/>
      <c r="W297" s="195"/>
      <c r="X297" s="195"/>
    </row>
    <row r="298" spans="2:24" s="177" customFormat="1" ht="15.75" customHeight="1" x14ac:dyDescent="0.3">
      <c r="B298" s="195"/>
      <c r="C298" s="400"/>
      <c r="D298" s="195"/>
      <c r="E298" s="561"/>
      <c r="F298" s="195"/>
      <c r="G298" s="267" t="s">
        <v>297</v>
      </c>
      <c r="H298" s="268" t="s">
        <v>298</v>
      </c>
      <c r="I298" s="268" t="s">
        <v>299</v>
      </c>
      <c r="J298" s="268" t="s">
        <v>300</v>
      </c>
      <c r="K298" s="269" t="s">
        <v>301</v>
      </c>
      <c r="L298" s="425"/>
      <c r="M298" s="195"/>
      <c r="N298" s="49"/>
      <c r="O298" s="49"/>
      <c r="P298" s="260"/>
      <c r="Q298" s="195"/>
      <c r="R298" s="195"/>
      <c r="S298" s="195"/>
      <c r="T298" s="195"/>
      <c r="U298" s="195"/>
      <c r="V298" s="195"/>
      <c r="W298" s="195"/>
      <c r="X298" s="195"/>
    </row>
    <row r="299" spans="2:24" s="177" customFormat="1" ht="15" customHeight="1" thickBot="1" x14ac:dyDescent="0.35">
      <c r="B299" s="195"/>
      <c r="C299" s="400"/>
      <c r="D299" s="195"/>
      <c r="E299" s="561"/>
      <c r="F299" s="195"/>
      <c r="G299" s="237">
        <f>G26</f>
        <v>25</v>
      </c>
      <c r="H299" s="226">
        <f>ROUNDUP(G299*FabricMapping!$N$121,0)</f>
        <v>417</v>
      </c>
      <c r="I299" s="239">
        <f>IFERROR(ROUNDUP(J296*FabricMapping!$N$120,0),0)</f>
        <v>5</v>
      </c>
      <c r="J299" s="226">
        <f>ROUNDUP(FabricMapping!$N$119*K296,0)</f>
        <v>37</v>
      </c>
      <c r="K299" s="227">
        <f>SUM(H299:J299)</f>
        <v>459</v>
      </c>
      <c r="L299" s="401"/>
      <c r="M299" s="195"/>
      <c r="N299" s="258"/>
      <c r="O299" s="49"/>
      <c r="P299" s="260"/>
      <c r="Q299" s="195"/>
      <c r="R299" s="195"/>
      <c r="S299" s="195"/>
      <c r="T299" s="195"/>
      <c r="U299" s="195"/>
      <c r="V299" s="195"/>
      <c r="W299" s="195"/>
      <c r="X299" s="195"/>
    </row>
    <row r="300" spans="2:24" s="177" customFormat="1" ht="15" customHeight="1" thickBot="1" x14ac:dyDescent="0.35">
      <c r="B300" s="195"/>
      <c r="C300" s="400"/>
      <c r="D300" s="195"/>
      <c r="E300" s="561"/>
      <c r="F300" s="195"/>
      <c r="G300" s="270"/>
      <c r="H300" s="270"/>
      <c r="I300" s="270"/>
      <c r="J300" s="270"/>
      <c r="K300" s="270"/>
      <c r="L300" s="425"/>
      <c r="M300" s="195"/>
      <c r="N300" s="49"/>
      <c r="O300" s="49"/>
      <c r="P300" s="260"/>
      <c r="Q300" s="195"/>
      <c r="R300" s="195"/>
      <c r="S300" s="195"/>
      <c r="T300" s="195"/>
      <c r="U300" s="195"/>
      <c r="V300" s="195"/>
      <c r="W300" s="195"/>
      <c r="X300" s="195"/>
    </row>
    <row r="301" spans="2:24" s="177" customFormat="1" ht="15" customHeight="1" x14ac:dyDescent="0.3">
      <c r="B301" s="195"/>
      <c r="C301" s="400"/>
      <c r="D301" s="195"/>
      <c r="E301" s="561"/>
      <c r="F301" s="195"/>
      <c r="G301" s="572" t="s">
        <v>302</v>
      </c>
      <c r="H301" s="573"/>
      <c r="I301" s="573"/>
      <c r="J301" s="573"/>
      <c r="K301" s="574"/>
      <c r="L301" s="425"/>
      <c r="M301" s="195"/>
      <c r="N301" s="49"/>
      <c r="O301" s="49"/>
      <c r="P301" s="260"/>
      <c r="Q301" s="195"/>
      <c r="R301" s="195"/>
      <c r="S301" s="195"/>
      <c r="T301" s="195"/>
      <c r="U301" s="195"/>
      <c r="V301" s="195"/>
      <c r="W301" s="195"/>
      <c r="X301" s="195"/>
    </row>
    <row r="302" spans="2:24" s="177" customFormat="1" ht="15" customHeight="1" x14ac:dyDescent="0.3">
      <c r="B302" s="195"/>
      <c r="C302" s="400"/>
      <c r="D302" s="195"/>
      <c r="E302" s="561"/>
      <c r="F302" s="195"/>
      <c r="G302" s="271" t="s">
        <v>303</v>
      </c>
      <c r="H302" s="575" t="s">
        <v>304</v>
      </c>
      <c r="I302" s="575"/>
      <c r="J302" s="575"/>
      <c r="K302" s="576"/>
      <c r="L302" s="425"/>
      <c r="M302" s="195"/>
      <c r="N302" s="195"/>
      <c r="O302" s="195"/>
      <c r="P302" s="195"/>
      <c r="Q302" s="195"/>
      <c r="R302" s="195"/>
      <c r="S302" s="195"/>
      <c r="T302" s="195"/>
      <c r="U302" s="195"/>
      <c r="V302" s="195"/>
      <c r="W302" s="195"/>
      <c r="X302" s="195"/>
    </row>
    <row r="303" spans="2:24" s="177" customFormat="1" ht="15.75" customHeight="1" thickBot="1" x14ac:dyDescent="0.35">
      <c r="B303" s="195"/>
      <c r="C303" s="400"/>
      <c r="D303" s="195"/>
      <c r="E303" s="561"/>
      <c r="F303" s="195"/>
      <c r="G303" s="237">
        <f>G27</f>
        <v>7</v>
      </c>
      <c r="H303" s="570">
        <f>ROUNDUP(G303*K296,2)</f>
        <v>0.39</v>
      </c>
      <c r="I303" s="570"/>
      <c r="J303" s="570"/>
      <c r="K303" s="571"/>
      <c r="L303" s="425"/>
      <c r="M303" s="195"/>
      <c r="N303" s="195"/>
      <c r="O303" s="195"/>
      <c r="P303" s="195"/>
      <c r="Q303" s="195"/>
      <c r="R303" s="195"/>
      <c r="S303" s="195"/>
      <c r="T303" s="195"/>
      <c r="U303" s="195"/>
      <c r="V303" s="195"/>
      <c r="W303" s="195"/>
      <c r="X303" s="195"/>
    </row>
    <row r="304" spans="2:24" s="177" customFormat="1" ht="14.4" x14ac:dyDescent="0.3">
      <c r="B304" s="195"/>
      <c r="C304" s="400"/>
      <c r="D304" s="195"/>
      <c r="E304" s="195"/>
      <c r="F304" s="195"/>
      <c r="G304" s="195"/>
      <c r="H304" s="195"/>
      <c r="I304" s="195"/>
      <c r="J304" s="195"/>
      <c r="K304" s="195"/>
      <c r="L304" s="401"/>
      <c r="M304" s="195"/>
      <c r="N304" s="195"/>
      <c r="O304" s="195"/>
      <c r="P304" s="195"/>
      <c r="Q304" s="195"/>
      <c r="R304" s="195"/>
      <c r="S304" s="195"/>
      <c r="T304" s="195"/>
      <c r="U304" s="195"/>
      <c r="V304" s="195"/>
      <c r="W304" s="195"/>
      <c r="X304" s="195"/>
    </row>
    <row r="305" spans="2:24" s="177" customFormat="1" ht="14.4" x14ac:dyDescent="0.3">
      <c r="B305" s="195"/>
      <c r="C305" s="400"/>
      <c r="D305" s="195"/>
      <c r="E305" s="195"/>
      <c r="F305" s="195"/>
      <c r="G305" s="195"/>
      <c r="H305" s="195"/>
      <c r="I305" s="195"/>
      <c r="J305" s="195"/>
      <c r="K305" s="426"/>
      <c r="L305" s="425"/>
      <c r="M305" s="195"/>
      <c r="N305" s="195"/>
      <c r="O305" s="195"/>
      <c r="P305" s="195"/>
      <c r="Q305" s="195"/>
      <c r="R305" s="195"/>
      <c r="S305" s="195"/>
      <c r="T305" s="195"/>
      <c r="U305" s="195"/>
      <c r="V305" s="195"/>
      <c r="W305" s="195"/>
      <c r="X305" s="195"/>
    </row>
    <row r="306" spans="2:24" s="177" customFormat="1" ht="15" thickBot="1" x14ac:dyDescent="0.35">
      <c r="B306" s="195"/>
      <c r="C306" s="400"/>
      <c r="D306" s="195"/>
      <c r="E306" s="195"/>
      <c r="F306" s="195"/>
      <c r="G306" s="195"/>
      <c r="H306" s="195"/>
      <c r="I306" s="195"/>
      <c r="J306" s="195"/>
      <c r="K306" s="426"/>
      <c r="L306" s="425"/>
      <c r="M306" s="195"/>
      <c r="N306" s="195"/>
      <c r="O306" s="195"/>
      <c r="P306" s="195"/>
      <c r="Q306" s="195"/>
      <c r="R306" s="195"/>
      <c r="S306" s="195"/>
      <c r="T306" s="195"/>
      <c r="U306" s="195"/>
      <c r="V306" s="195"/>
      <c r="W306" s="195"/>
      <c r="X306" s="195"/>
    </row>
    <row r="307" spans="2:24" s="177" customFormat="1" ht="14.4" x14ac:dyDescent="0.3">
      <c r="B307" s="195"/>
      <c r="C307" s="400"/>
      <c r="D307" s="195"/>
      <c r="E307" s="561" t="s">
        <v>305</v>
      </c>
      <c r="F307" s="195"/>
      <c r="G307" s="563" t="s">
        <v>306</v>
      </c>
      <c r="H307" s="564"/>
      <c r="I307" s="564"/>
      <c r="J307" s="564"/>
      <c r="K307" s="565"/>
      <c r="L307" s="425"/>
      <c r="M307" s="427"/>
      <c r="N307" s="195"/>
      <c r="O307" s="195"/>
      <c r="P307" s="195"/>
      <c r="Q307" s="195"/>
      <c r="R307" s="195"/>
      <c r="S307" s="195"/>
      <c r="T307" s="195"/>
      <c r="U307" s="195"/>
      <c r="V307" s="195"/>
      <c r="W307" s="195"/>
      <c r="X307" s="195"/>
    </row>
    <row r="308" spans="2:24" s="177" customFormat="1" ht="14.4" x14ac:dyDescent="0.3">
      <c r="B308" s="195"/>
      <c r="C308" s="400"/>
      <c r="D308" s="195"/>
      <c r="E308" s="561"/>
      <c r="F308" s="195"/>
      <c r="G308" s="273" t="s">
        <v>307</v>
      </c>
      <c r="H308" s="262" t="s">
        <v>308</v>
      </c>
      <c r="I308" s="262" t="s">
        <v>309</v>
      </c>
      <c r="J308" s="262" t="s">
        <v>310</v>
      </c>
      <c r="K308" s="264" t="s">
        <v>311</v>
      </c>
      <c r="L308" s="425"/>
      <c r="M308" s="195"/>
      <c r="N308" s="195"/>
      <c r="O308" s="195"/>
      <c r="P308" s="195"/>
      <c r="Q308" s="195"/>
      <c r="R308" s="195"/>
      <c r="S308" s="195"/>
      <c r="T308" s="195"/>
      <c r="U308" s="195"/>
      <c r="V308" s="195"/>
      <c r="W308" s="195"/>
      <c r="X308" s="195"/>
    </row>
    <row r="309" spans="2:24" s="177" customFormat="1" ht="14.4" x14ac:dyDescent="0.3">
      <c r="B309" s="195"/>
      <c r="C309" s="400"/>
      <c r="D309" s="195"/>
      <c r="E309" s="561"/>
      <c r="F309" s="195"/>
      <c r="G309" s="428">
        <v>7</v>
      </c>
      <c r="H309" s="421">
        <f>ROUNDUP((((G29/G309)*(J309+K309))+(G28/G309)),2)</f>
        <v>53</v>
      </c>
      <c r="I309" s="421">
        <f>(((G29/G309)*J309)+(G28/G309))</f>
        <v>10.142857142857142</v>
      </c>
      <c r="J309" s="429">
        <f>G30</f>
        <v>7</v>
      </c>
      <c r="K309" s="430">
        <f>G31</f>
        <v>30</v>
      </c>
      <c r="L309" s="425"/>
      <c r="M309" s="195"/>
      <c r="N309" s="431"/>
      <c r="O309" s="195"/>
      <c r="P309" s="195"/>
      <c r="Q309" s="195"/>
      <c r="R309" s="195"/>
      <c r="S309" s="195"/>
      <c r="T309" s="195"/>
      <c r="U309" s="195"/>
      <c r="V309" s="195"/>
      <c r="W309" s="195"/>
      <c r="X309" s="195"/>
    </row>
    <row r="310" spans="2:24" s="177" customFormat="1" ht="14.4" x14ac:dyDescent="0.3">
      <c r="B310" s="195"/>
      <c r="C310" s="400"/>
      <c r="D310" s="195"/>
      <c r="E310" s="561"/>
      <c r="F310" s="195"/>
      <c r="G310" s="273" t="s">
        <v>312</v>
      </c>
      <c r="H310" s="262" t="s">
        <v>313</v>
      </c>
      <c r="I310" s="262" t="s">
        <v>314</v>
      </c>
      <c r="J310" s="262" t="s">
        <v>315</v>
      </c>
      <c r="K310" s="274" t="s">
        <v>316</v>
      </c>
      <c r="L310" s="425"/>
      <c r="M310" s="195"/>
      <c r="N310" s="195"/>
      <c r="O310" s="195"/>
      <c r="P310" s="195"/>
      <c r="Q310" s="195"/>
      <c r="R310" s="195"/>
      <c r="S310" s="195"/>
      <c r="T310" s="195"/>
      <c r="U310" s="195"/>
      <c r="V310" s="195"/>
      <c r="W310" s="195"/>
      <c r="X310" s="195"/>
    </row>
    <row r="311" spans="2:24" s="177" customFormat="1" ht="15" thickBot="1" x14ac:dyDescent="0.35">
      <c r="B311" s="195"/>
      <c r="C311" s="400"/>
      <c r="D311" s="195"/>
      <c r="E311" s="561"/>
      <c r="F311" s="195"/>
      <c r="G311" s="415" t="str">
        <f>IFERROR(VLOOKUP(I309,FabricMapping!$E$93:$I$101,2,1),0)</f>
        <v>Small</v>
      </c>
      <c r="H311" s="406">
        <f>IFERROR(ROUNDUP(I309/VLOOKUP(G311,FabricMapping!$F$93:$I$101,2,0),0),0)</f>
        <v>1</v>
      </c>
      <c r="I311" s="406">
        <f>IFERROR(IF(G311="XX-Large",VLOOKUP(G311,FabricMapping!$F$93:$H$101,3,0)*H311,VLOOKUP(G311,FabricMapping!$F$93:$H$101,3,0)),0)</f>
        <v>4</v>
      </c>
      <c r="J311" s="416">
        <f>G32/24</f>
        <v>1</v>
      </c>
      <c r="K311" s="407" cm="1">
        <f t="array" ref="K311">ROUNDUP((_xlfn.SWITCH(G311, "Extra Extra Small", (I311+0.25), "Extra Small", (I311+0.25), I311+2)*J311)*24*60,2)</f>
        <v>8640</v>
      </c>
      <c r="L311" s="425"/>
      <c r="M311" s="195"/>
      <c r="N311" s="195"/>
      <c r="O311" s="195"/>
      <c r="P311" s="195"/>
      <c r="Q311" s="195"/>
      <c r="R311" s="195"/>
      <c r="S311" s="195"/>
      <c r="T311" s="195"/>
      <c r="U311" s="195"/>
      <c r="V311" s="195"/>
      <c r="W311" s="195"/>
      <c r="X311" s="195"/>
    </row>
    <row r="312" spans="2:24" s="177" customFormat="1" ht="14.4" x14ac:dyDescent="0.3">
      <c r="B312" s="195"/>
      <c r="C312" s="400"/>
      <c r="D312" s="195"/>
      <c r="E312" s="195"/>
      <c r="F312" s="195"/>
      <c r="G312" s="195"/>
      <c r="H312" s="195"/>
      <c r="I312" s="195"/>
      <c r="J312" s="195"/>
      <c r="K312" s="426"/>
      <c r="L312" s="425"/>
      <c r="M312" s="195"/>
      <c r="N312" s="195"/>
      <c r="O312" s="195"/>
      <c r="P312" s="195"/>
      <c r="Q312" s="195"/>
      <c r="R312" s="195"/>
      <c r="S312" s="195"/>
      <c r="T312" s="195"/>
      <c r="U312" s="195"/>
      <c r="V312" s="195"/>
      <c r="W312" s="195"/>
      <c r="X312" s="195"/>
    </row>
    <row r="313" spans="2:24" s="177" customFormat="1" ht="14.4" x14ac:dyDescent="0.3">
      <c r="B313" s="195"/>
      <c r="C313" s="400"/>
      <c r="D313" s="195"/>
      <c r="E313" s="195"/>
      <c r="F313" s="195"/>
      <c r="G313" s="195"/>
      <c r="H313" s="195"/>
      <c r="I313" s="195"/>
      <c r="J313" s="195"/>
      <c r="K313" s="426"/>
      <c r="L313" s="425"/>
      <c r="M313" s="195"/>
      <c r="N313" s="195"/>
      <c r="O313" s="195"/>
      <c r="P313" s="195"/>
      <c r="Q313" s="195"/>
      <c r="R313" s="195"/>
      <c r="S313" s="195"/>
      <c r="T313" s="195"/>
      <c r="U313" s="195"/>
      <c r="V313" s="195"/>
      <c r="W313" s="195"/>
      <c r="X313" s="195"/>
    </row>
    <row r="314" spans="2:24" s="177" customFormat="1" ht="15" thickBot="1" x14ac:dyDescent="0.35">
      <c r="B314" s="195"/>
      <c r="C314" s="400"/>
      <c r="D314" s="195"/>
      <c r="E314" s="195"/>
      <c r="F314" s="195"/>
      <c r="G314" s="195"/>
      <c r="H314" s="195"/>
      <c r="I314" s="195"/>
      <c r="J314" s="195"/>
      <c r="K314" s="426"/>
      <c r="L314" s="425"/>
      <c r="M314" s="195"/>
      <c r="N314" s="195"/>
      <c r="O314" s="195"/>
      <c r="P314" s="195"/>
      <c r="Q314" s="195"/>
      <c r="R314" s="195"/>
      <c r="S314" s="195"/>
      <c r="T314" s="195"/>
      <c r="U314" s="195"/>
      <c r="V314" s="195"/>
      <c r="W314" s="195"/>
      <c r="X314" s="195"/>
    </row>
    <row r="315" spans="2:24" s="177" customFormat="1" ht="14.4" x14ac:dyDescent="0.3">
      <c r="B315" s="195"/>
      <c r="C315" s="400"/>
      <c r="D315" s="195"/>
      <c r="E315" s="561" t="s">
        <v>149</v>
      </c>
      <c r="F315" s="195"/>
      <c r="G315" s="563" t="s">
        <v>149</v>
      </c>
      <c r="H315" s="564"/>
      <c r="I315" s="564"/>
      <c r="J315" s="564"/>
      <c r="K315" s="565"/>
      <c r="L315" s="425"/>
      <c r="M315" s="195"/>
      <c r="N315" s="195"/>
      <c r="O315" s="195"/>
      <c r="P315" s="195"/>
      <c r="Q315" s="195"/>
      <c r="R315" s="195"/>
      <c r="S315" s="195"/>
      <c r="T315" s="195"/>
      <c r="U315" s="195"/>
      <c r="V315" s="195"/>
      <c r="W315" s="195"/>
      <c r="X315" s="195"/>
    </row>
    <row r="316" spans="2:24" s="177" customFormat="1" ht="14.4" x14ac:dyDescent="0.3">
      <c r="B316" s="195"/>
      <c r="C316" s="400"/>
      <c r="D316" s="195"/>
      <c r="E316" s="561"/>
      <c r="F316" s="195"/>
      <c r="G316" s="230" t="s">
        <v>317</v>
      </c>
      <c r="H316" s="231" t="s">
        <v>295</v>
      </c>
      <c r="I316" s="231" t="s">
        <v>97</v>
      </c>
      <c r="J316" s="231" t="s">
        <v>318</v>
      </c>
      <c r="K316" s="232" t="s">
        <v>319</v>
      </c>
      <c r="L316" s="425"/>
      <c r="M316" s="195"/>
      <c r="N316" s="195"/>
      <c r="O316" s="195"/>
      <c r="P316" s="195"/>
      <c r="Q316" s="195"/>
      <c r="R316" s="195"/>
      <c r="S316" s="195"/>
      <c r="T316" s="195"/>
      <c r="U316" s="195"/>
      <c r="V316" s="195"/>
      <c r="W316" s="195"/>
      <c r="X316" s="195"/>
    </row>
    <row r="317" spans="2:24" s="177" customFormat="1" ht="15" thickBot="1" x14ac:dyDescent="0.35">
      <c r="B317" s="195"/>
      <c r="C317" s="400"/>
      <c r="D317" s="195"/>
      <c r="E317" s="561"/>
      <c r="F317" s="195"/>
      <c r="G317" s="257">
        <f>G33</f>
        <v>10</v>
      </c>
      <c r="H317" s="226">
        <f>(G317*1024)/($I$296/1024)</f>
        <v>5242880</v>
      </c>
      <c r="I317" s="239">
        <f>K309</f>
        <v>30</v>
      </c>
      <c r="J317" s="226">
        <f>(G317*I317) - G317</f>
        <v>290</v>
      </c>
      <c r="K317" s="227">
        <f>SUM(I320+J324+I328)</f>
        <v>17399</v>
      </c>
      <c r="L317" s="425"/>
      <c r="M317" s="195"/>
      <c r="N317" s="195"/>
      <c r="O317" s="195"/>
      <c r="P317" s="195"/>
      <c r="Q317" s="195"/>
      <c r="R317" s="195"/>
      <c r="S317" s="195"/>
      <c r="T317" s="195"/>
      <c r="U317" s="195"/>
      <c r="V317" s="195"/>
      <c r="W317" s="195"/>
      <c r="X317" s="195"/>
    </row>
    <row r="318" spans="2:24" s="177" customFormat="1" ht="14.4" x14ac:dyDescent="0.3">
      <c r="B318" s="195"/>
      <c r="C318" s="400"/>
      <c r="D318" s="195"/>
      <c r="E318" s="561"/>
      <c r="F318" s="195"/>
      <c r="G318" s="572" t="s">
        <v>149</v>
      </c>
      <c r="H318" s="573"/>
      <c r="I318" s="573"/>
      <c r="J318" s="573"/>
      <c r="K318" s="574"/>
      <c r="L318" s="425"/>
      <c r="M318" s="195"/>
      <c r="N318" s="195"/>
      <c r="O318" s="195"/>
      <c r="P318" s="195"/>
      <c r="Q318" s="195"/>
      <c r="R318" s="195"/>
      <c r="S318" s="195"/>
      <c r="T318" s="195"/>
      <c r="U318" s="195"/>
      <c r="V318" s="195"/>
      <c r="W318" s="195"/>
      <c r="X318" s="195"/>
    </row>
    <row r="319" spans="2:24" s="177" customFormat="1" ht="14.4" x14ac:dyDescent="0.3">
      <c r="B319" s="195"/>
      <c r="C319" s="400"/>
      <c r="D319" s="195"/>
      <c r="E319" s="561"/>
      <c r="F319" s="195"/>
      <c r="G319" s="275" t="s">
        <v>320</v>
      </c>
      <c r="H319" s="209" t="s">
        <v>321</v>
      </c>
      <c r="I319" s="597" t="s">
        <v>322</v>
      </c>
      <c r="J319" s="597"/>
      <c r="K319" s="598"/>
      <c r="L319" s="425"/>
      <c r="M319" s="195"/>
      <c r="N319" s="195"/>
      <c r="O319" s="195"/>
      <c r="P319" s="195"/>
      <c r="Q319" s="195"/>
      <c r="R319" s="195"/>
      <c r="S319" s="195"/>
      <c r="T319" s="195"/>
      <c r="U319" s="195"/>
      <c r="V319" s="195"/>
      <c r="W319" s="195"/>
      <c r="X319" s="195"/>
    </row>
    <row r="320" spans="2:24" s="177" customFormat="1" ht="15" thickBot="1" x14ac:dyDescent="0.35">
      <c r="B320" s="195"/>
      <c r="C320" s="400"/>
      <c r="D320" s="195"/>
      <c r="E320" s="561"/>
      <c r="F320" s="195"/>
      <c r="G320" s="257">
        <f>G34</f>
        <v>24</v>
      </c>
      <c r="H320" s="276">
        <f>G35</f>
        <v>1</v>
      </c>
      <c r="I320" s="570">
        <f>G320*H320*FabricMapping!$N$130</f>
        <v>336</v>
      </c>
      <c r="J320" s="570"/>
      <c r="K320" s="571"/>
      <c r="L320" s="425"/>
      <c r="M320" s="195"/>
      <c r="N320" s="195"/>
      <c r="O320" s="195"/>
      <c r="P320" s="195"/>
      <c r="Q320" s="195"/>
      <c r="R320" s="195"/>
      <c r="S320" s="195"/>
      <c r="T320" s="195"/>
      <c r="U320" s="195"/>
      <c r="V320" s="195"/>
      <c r="W320" s="195"/>
      <c r="X320" s="195"/>
    </row>
    <row r="321" spans="3:16" s="177" customFormat="1" ht="15" thickBot="1" x14ac:dyDescent="0.35">
      <c r="C321" s="400"/>
      <c r="D321" s="195"/>
      <c r="E321" s="561"/>
      <c r="F321" s="195"/>
      <c r="G321" s="270"/>
      <c r="H321" s="270"/>
      <c r="I321" s="270"/>
      <c r="J321" s="270"/>
      <c r="K321" s="270"/>
      <c r="L321" s="425"/>
      <c r="M321" s="195"/>
      <c r="N321" s="195"/>
      <c r="O321" s="195"/>
      <c r="P321" s="195"/>
    </row>
    <row r="322" spans="3:16" s="177" customFormat="1" ht="14.4" x14ac:dyDescent="0.3">
      <c r="C322" s="400"/>
      <c r="D322" s="195"/>
      <c r="E322" s="561"/>
      <c r="F322" s="195"/>
      <c r="G322" s="572" t="s">
        <v>323</v>
      </c>
      <c r="H322" s="573"/>
      <c r="I322" s="573"/>
      <c r="J322" s="573"/>
      <c r="K322" s="574"/>
      <c r="L322" s="425"/>
      <c r="M322" s="195"/>
      <c r="N322" s="195"/>
      <c r="O322" s="195"/>
      <c r="P322" s="195"/>
    </row>
    <row r="323" spans="3:16" s="177" customFormat="1" ht="14.4" x14ac:dyDescent="0.3">
      <c r="C323" s="400"/>
      <c r="D323" s="195"/>
      <c r="E323" s="561"/>
      <c r="F323" s="195"/>
      <c r="G323" s="271" t="s">
        <v>324</v>
      </c>
      <c r="H323" s="272" t="s">
        <v>325</v>
      </c>
      <c r="I323" s="272" t="s">
        <v>326</v>
      </c>
      <c r="J323" s="597" t="s">
        <v>322</v>
      </c>
      <c r="K323" s="598"/>
      <c r="L323" s="425"/>
      <c r="M323" s="195"/>
      <c r="N323" s="195"/>
      <c r="O323" s="195"/>
      <c r="P323" s="195"/>
    </row>
    <row r="324" spans="3:16" s="177" customFormat="1" ht="15" thickBot="1" x14ac:dyDescent="0.35">
      <c r="C324" s="400"/>
      <c r="D324" s="195"/>
      <c r="E324" s="561"/>
      <c r="F324" s="195"/>
      <c r="G324" s="237">
        <f>G317</f>
        <v>10</v>
      </c>
      <c r="H324" s="226">
        <f>G324*0.25</f>
        <v>2.5</v>
      </c>
      <c r="I324" s="226">
        <f>G324+H324</f>
        <v>12.5</v>
      </c>
      <c r="J324" s="570">
        <f>ROUNDUP(I324*FabricMapping!$N$131,0)</f>
        <v>263</v>
      </c>
      <c r="K324" s="571"/>
      <c r="L324" s="425"/>
      <c r="M324" s="195"/>
      <c r="N324" s="195"/>
      <c r="O324" s="195"/>
      <c r="P324" s="195"/>
    </row>
    <row r="325" spans="3:16" s="177" customFormat="1" ht="15" thickBot="1" x14ac:dyDescent="0.35">
      <c r="C325" s="400"/>
      <c r="D325" s="195"/>
      <c r="E325" s="561"/>
      <c r="F325" s="195"/>
      <c r="G325" s="270"/>
      <c r="H325" s="277"/>
      <c r="I325" s="270"/>
      <c r="J325" s="270"/>
      <c r="K325" s="270"/>
      <c r="L325" s="425"/>
      <c r="M325" s="195"/>
      <c r="N325" s="195"/>
      <c r="O325" s="195"/>
      <c r="P325" s="195"/>
    </row>
    <row r="326" spans="3:16" s="177" customFormat="1" ht="14.4" x14ac:dyDescent="0.3">
      <c r="C326" s="400"/>
      <c r="D326" s="195"/>
      <c r="E326" s="561"/>
      <c r="F326" s="195"/>
      <c r="G326" s="572" t="s">
        <v>327</v>
      </c>
      <c r="H326" s="573"/>
      <c r="I326" s="573"/>
      <c r="J326" s="573"/>
      <c r="K326" s="574"/>
      <c r="L326" s="425"/>
      <c r="M326" s="195"/>
      <c r="N326" s="195"/>
      <c r="O326" s="195"/>
      <c r="P326" s="195"/>
    </row>
    <row r="327" spans="3:16" s="177" customFormat="1" ht="14.4" x14ac:dyDescent="0.3">
      <c r="C327" s="400"/>
      <c r="D327" s="195"/>
      <c r="E327" s="561"/>
      <c r="F327" s="195"/>
      <c r="G327" s="278" t="s">
        <v>328</v>
      </c>
      <c r="H327" s="279" t="s">
        <v>329</v>
      </c>
      <c r="I327" s="597" t="s">
        <v>322</v>
      </c>
      <c r="J327" s="597"/>
      <c r="K327" s="598"/>
      <c r="L327" s="425"/>
      <c r="M327" s="195"/>
      <c r="N327" s="195"/>
      <c r="O327" s="195"/>
      <c r="P327" s="195"/>
    </row>
    <row r="328" spans="3:16" s="177" customFormat="1" ht="15" thickBot="1" x14ac:dyDescent="0.35">
      <c r="C328" s="400"/>
      <c r="D328" s="195"/>
      <c r="E328" s="561"/>
      <c r="F328" s="195"/>
      <c r="G328" s="257">
        <f>G36</f>
        <v>5</v>
      </c>
      <c r="H328" s="226">
        <f>G320</f>
        <v>24</v>
      </c>
      <c r="I328" s="570">
        <f>(G328*H328)*FabricMapping!$N$132</f>
        <v>16800</v>
      </c>
      <c r="J328" s="570"/>
      <c r="K328" s="571"/>
      <c r="L328" s="425"/>
      <c r="M328" s="195"/>
      <c r="N328" s="195"/>
      <c r="O328" s="195"/>
      <c r="P328" s="195"/>
    </row>
    <row r="329" spans="3:16" s="177" customFormat="1" ht="14.4" x14ac:dyDescent="0.3">
      <c r="C329" s="400"/>
      <c r="D329" s="195"/>
      <c r="E329" s="195"/>
      <c r="F329" s="195"/>
      <c r="G329" s="195"/>
      <c r="H329" s="195"/>
      <c r="I329" s="195"/>
      <c r="J329" s="195"/>
      <c r="K329" s="426"/>
      <c r="L329" s="425"/>
      <c r="M329" s="195"/>
      <c r="N329" s="195"/>
      <c r="O329" s="195"/>
      <c r="P329" s="195"/>
    </row>
    <row r="330" spans="3:16" s="177" customFormat="1" ht="14.4" x14ac:dyDescent="0.3">
      <c r="C330" s="400"/>
      <c r="D330" s="195"/>
      <c r="E330" s="195"/>
      <c r="F330" s="195"/>
      <c r="G330" s="195"/>
      <c r="H330" s="195"/>
      <c r="I330" s="195"/>
      <c r="J330" s="195"/>
      <c r="K330" s="426"/>
      <c r="L330" s="425"/>
      <c r="M330" s="195"/>
      <c r="N330" s="195"/>
      <c r="O330" s="195"/>
      <c r="P330" s="195"/>
    </row>
    <row r="331" spans="3:16" s="177" customFormat="1" ht="14.4" x14ac:dyDescent="0.3">
      <c r="C331" s="400"/>
      <c r="D331" s="195"/>
      <c r="E331" s="195"/>
      <c r="F331" s="195"/>
      <c r="G331" s="195"/>
      <c r="H331" s="195"/>
      <c r="I331" s="195"/>
      <c r="J331" s="195"/>
      <c r="K331" s="426"/>
      <c r="L331" s="425"/>
      <c r="M331" s="195"/>
      <c r="N331" s="195"/>
      <c r="O331" s="195"/>
      <c r="P331" s="195"/>
    </row>
    <row r="332" spans="3:16" s="177" customFormat="1" ht="14.4" x14ac:dyDescent="0.3">
      <c r="C332" s="400"/>
      <c r="D332" s="195"/>
      <c r="E332" s="195"/>
      <c r="F332" s="195"/>
      <c r="G332" s="195"/>
      <c r="H332" s="195"/>
      <c r="I332" s="195"/>
      <c r="J332" s="195"/>
      <c r="K332" s="426"/>
      <c r="L332" s="425"/>
      <c r="M332" s="195"/>
      <c r="N332" s="195"/>
      <c r="O332" s="195"/>
      <c r="P332" s="195"/>
    </row>
    <row r="333" spans="3:16" s="177" customFormat="1" ht="14.4" x14ac:dyDescent="0.3">
      <c r="C333" s="400"/>
      <c r="D333" s="195"/>
      <c r="E333" s="195"/>
      <c r="F333" s="195"/>
      <c r="G333" s="195"/>
      <c r="H333" s="195"/>
      <c r="I333" s="195"/>
      <c r="J333" s="195"/>
      <c r="K333" s="426"/>
      <c r="L333" s="425"/>
      <c r="M333" s="195"/>
      <c r="N333" s="195"/>
      <c r="O333" s="195"/>
      <c r="P333" s="195"/>
    </row>
    <row r="334" spans="3:16" s="177" customFormat="1" ht="15" thickBot="1" x14ac:dyDescent="0.35">
      <c r="C334" s="409"/>
      <c r="D334" s="408"/>
      <c r="E334" s="408"/>
      <c r="F334" s="408"/>
      <c r="G334" s="408"/>
      <c r="H334" s="408"/>
      <c r="I334" s="408"/>
      <c r="J334" s="408"/>
      <c r="K334" s="408"/>
      <c r="L334" s="432"/>
      <c r="M334" s="195"/>
      <c r="N334" s="195"/>
      <c r="O334" s="195"/>
      <c r="P334" s="195"/>
    </row>
    <row r="335" spans="3:16" s="177" customFormat="1" ht="14.4" x14ac:dyDescent="0.3">
      <c r="C335" s="195"/>
      <c r="D335" s="195"/>
      <c r="E335" s="195"/>
      <c r="F335" s="195"/>
      <c r="G335" s="195"/>
      <c r="H335" s="195"/>
      <c r="I335" s="411"/>
      <c r="J335" s="195"/>
      <c r="K335" s="426"/>
      <c r="L335" s="195"/>
      <c r="M335" s="195"/>
      <c r="N335" s="195"/>
      <c r="O335" s="195"/>
      <c r="P335" s="195"/>
    </row>
    <row r="336" spans="3:16" s="177" customFormat="1" ht="14.4" x14ac:dyDescent="0.3">
      <c r="C336" s="195"/>
      <c r="D336" s="195"/>
      <c r="E336" s="195"/>
      <c r="F336" s="195"/>
      <c r="G336" s="195"/>
      <c r="H336" s="195"/>
      <c r="I336" s="195"/>
      <c r="J336" s="195"/>
      <c r="K336" s="195"/>
      <c r="L336" s="195"/>
      <c r="M336" s="195"/>
      <c r="N336" s="195"/>
      <c r="O336" s="195"/>
      <c r="P336" s="195"/>
    </row>
    <row r="337" spans="3:18" s="177" customFormat="1" ht="14.4" x14ac:dyDescent="0.3">
      <c r="C337" s="195"/>
      <c r="D337" s="195"/>
      <c r="E337" s="195"/>
      <c r="F337" s="195"/>
      <c r="G337" s="195"/>
      <c r="H337" s="195"/>
      <c r="I337" s="411"/>
      <c r="J337" s="195"/>
      <c r="K337" s="195"/>
      <c r="L337" s="195"/>
      <c r="M337" s="195"/>
      <c r="N337" s="195"/>
      <c r="O337" s="195"/>
      <c r="P337" s="195"/>
      <c r="Q337" s="195"/>
      <c r="R337" s="195"/>
    </row>
    <row r="338" spans="3:18" s="177" customFormat="1" ht="14.4" x14ac:dyDescent="0.3">
      <c r="C338" s="195"/>
      <c r="D338" s="195"/>
      <c r="E338" s="195"/>
      <c r="F338" s="195"/>
      <c r="G338" s="195"/>
      <c r="H338" s="195"/>
      <c r="I338" s="411"/>
      <c r="J338" s="433"/>
      <c r="K338" s="195"/>
      <c r="L338" s="195"/>
      <c r="M338" s="195"/>
      <c r="N338" s="195"/>
      <c r="O338" s="195"/>
      <c r="P338" s="195"/>
      <c r="Q338" s="195"/>
      <c r="R338" s="195"/>
    </row>
    <row r="339" spans="3:18" s="177" customFormat="1" ht="14.4" x14ac:dyDescent="0.3">
      <c r="C339" s="195"/>
      <c r="D339" s="195"/>
      <c r="E339" s="195"/>
      <c r="F339" s="195"/>
      <c r="G339" s="195"/>
      <c r="H339" s="195"/>
      <c r="I339" s="411"/>
      <c r="J339" s="433"/>
      <c r="K339" s="195"/>
      <c r="L339" s="195"/>
      <c r="M339" s="195"/>
      <c r="N339" s="195"/>
      <c r="O339" s="195"/>
      <c r="P339" s="195"/>
      <c r="Q339" s="195"/>
      <c r="R339" s="195"/>
    </row>
    <row r="340" spans="3:18" s="177" customFormat="1" ht="15.9" customHeight="1" x14ac:dyDescent="0.3">
      <c r="C340" s="195"/>
      <c r="D340" s="195"/>
      <c r="E340" s="195"/>
      <c r="F340" s="195"/>
      <c r="G340" s="195"/>
      <c r="H340" s="195"/>
      <c r="I340" s="195"/>
      <c r="J340" s="195"/>
      <c r="K340" s="195"/>
      <c r="L340" s="195"/>
      <c r="M340" s="195"/>
      <c r="N340" s="195"/>
      <c r="O340" s="195"/>
      <c r="P340" s="195"/>
      <c r="Q340" s="195"/>
      <c r="R340" s="195"/>
    </row>
    <row r="341" spans="3:18" s="177" customFormat="1" ht="15.9" hidden="1" customHeight="1" x14ac:dyDescent="0.3">
      <c r="C341" s="195"/>
      <c r="D341" s="195"/>
      <c r="E341" s="195"/>
      <c r="F341" s="195"/>
      <c r="G341" s="195"/>
      <c r="H341" s="195"/>
      <c r="I341" s="195"/>
      <c r="J341" s="195"/>
      <c r="K341" s="195"/>
      <c r="L341" s="195"/>
      <c r="M341" s="195"/>
      <c r="N341" s="195"/>
      <c r="O341" s="195"/>
      <c r="P341" s="195"/>
      <c r="Q341" s="195"/>
      <c r="R341" s="195"/>
    </row>
    <row r="342" spans="3:18" s="177" customFormat="1" ht="17.100000000000001" hidden="1" customHeight="1" x14ac:dyDescent="0.3">
      <c r="C342" s="195"/>
      <c r="D342" s="195"/>
      <c r="E342" s="195"/>
      <c r="F342" s="195"/>
      <c r="G342" s="195"/>
      <c r="H342" s="195"/>
      <c r="I342" s="195"/>
      <c r="J342" s="195"/>
      <c r="K342" s="195"/>
      <c r="L342" s="195"/>
      <c r="M342" s="195"/>
      <c r="N342" s="195"/>
      <c r="O342" s="195"/>
      <c r="P342" s="195"/>
      <c r="Q342" s="195"/>
      <c r="R342" s="195"/>
    </row>
    <row r="343" spans="3:18" s="177" customFormat="1" ht="17.100000000000001" hidden="1" customHeight="1" x14ac:dyDescent="0.3">
      <c r="C343" s="195"/>
      <c r="D343" s="195"/>
      <c r="E343" s="195"/>
      <c r="F343" s="195"/>
      <c r="G343" s="195"/>
      <c r="H343" s="195"/>
      <c r="I343" s="195"/>
      <c r="J343" s="195"/>
      <c r="K343" s="195"/>
      <c r="L343" s="195"/>
      <c r="M343" s="195"/>
      <c r="N343" s="195"/>
      <c r="O343" s="195"/>
      <c r="P343" s="195"/>
      <c r="Q343" s="195"/>
      <c r="R343" s="195"/>
    </row>
    <row r="344" spans="3:18" s="177" customFormat="1" ht="17.100000000000001" hidden="1" customHeight="1" x14ac:dyDescent="0.3">
      <c r="C344" s="195"/>
      <c r="D344" s="195"/>
      <c r="E344" s="195"/>
      <c r="F344" s="195"/>
      <c r="G344" s="195"/>
      <c r="H344" s="195"/>
      <c r="I344" s="195"/>
      <c r="J344" s="195"/>
      <c r="K344" s="195"/>
      <c r="L344" s="195"/>
      <c r="M344" s="195"/>
      <c r="N344" s="195"/>
      <c r="O344" s="195"/>
      <c r="P344" s="195"/>
      <c r="Q344" s="195"/>
      <c r="R344" s="195"/>
    </row>
    <row r="345" spans="3:18" s="177" customFormat="1" ht="17.100000000000001" hidden="1" customHeight="1" x14ac:dyDescent="0.3">
      <c r="C345" s="195"/>
      <c r="D345" s="195"/>
      <c r="E345" s="195"/>
      <c r="F345" s="195"/>
      <c r="G345" s="195"/>
      <c r="H345" s="195"/>
      <c r="I345" s="195"/>
      <c r="J345" s="195"/>
      <c r="K345" s="195"/>
      <c r="L345" s="195"/>
      <c r="M345" s="195"/>
      <c r="N345" s="195"/>
      <c r="O345" s="195"/>
      <c r="P345" s="195"/>
      <c r="Q345" s="195"/>
      <c r="R345" s="195"/>
    </row>
    <row r="346" spans="3:18" s="177" customFormat="1" ht="17.100000000000001" hidden="1" customHeight="1" x14ac:dyDescent="0.3">
      <c r="C346" s="195"/>
      <c r="D346" s="195"/>
      <c r="E346" s="195"/>
      <c r="F346" s="195"/>
      <c r="G346" s="195"/>
      <c r="H346" s="195"/>
      <c r="I346" s="195"/>
      <c r="J346" s="195"/>
      <c r="K346" s="195"/>
      <c r="L346" s="195"/>
      <c r="M346" s="195"/>
      <c r="N346" s="195"/>
      <c r="O346" s="195"/>
      <c r="P346" s="195"/>
      <c r="Q346" s="195"/>
      <c r="R346" s="195"/>
    </row>
    <row r="347" spans="3:18" s="177" customFormat="1" ht="17.100000000000001" hidden="1" customHeight="1" x14ac:dyDescent="0.3">
      <c r="C347" s="195"/>
      <c r="D347" s="195"/>
      <c r="E347" s="195"/>
      <c r="F347" s="195"/>
      <c r="G347" s="195"/>
      <c r="H347" s="195"/>
      <c r="I347" s="195"/>
      <c r="J347" s="195"/>
      <c r="K347" s="195"/>
      <c r="L347" s="195"/>
      <c r="M347" s="195"/>
      <c r="N347" s="195"/>
      <c r="O347" s="195"/>
      <c r="P347" s="195"/>
      <c r="Q347" s="195"/>
      <c r="R347" s="195"/>
    </row>
    <row r="348" spans="3:18" s="177" customFormat="1" ht="17.100000000000001" hidden="1" customHeight="1" x14ac:dyDescent="0.3">
      <c r="C348" s="195"/>
      <c r="D348" s="195"/>
      <c r="E348" s="195"/>
      <c r="F348" s="195"/>
      <c r="G348" s="195"/>
      <c r="H348" s="195"/>
      <c r="I348" s="195"/>
      <c r="J348" s="195"/>
      <c r="K348" s="195"/>
      <c r="L348" s="195"/>
      <c r="M348" s="195"/>
      <c r="N348" s="195"/>
      <c r="O348" s="195"/>
      <c r="P348" s="195"/>
      <c r="Q348" s="195"/>
      <c r="R348" s="195"/>
    </row>
    <row r="349" spans="3:18" s="177" customFormat="1" ht="17.100000000000001" hidden="1" customHeight="1" x14ac:dyDescent="0.3">
      <c r="C349" s="195"/>
      <c r="D349" s="195"/>
      <c r="E349" s="195"/>
      <c r="F349" s="195"/>
      <c r="G349" s="195"/>
      <c r="H349" s="195"/>
      <c r="I349" s="195"/>
      <c r="J349" s="195"/>
      <c r="K349" s="195"/>
      <c r="L349" s="195"/>
      <c r="M349" s="195"/>
      <c r="N349" s="195"/>
      <c r="O349" s="195"/>
      <c r="P349" s="195"/>
      <c r="Q349" s="195"/>
      <c r="R349" s="195"/>
    </row>
    <row r="350" spans="3:18" s="177" customFormat="1" ht="17.100000000000001" hidden="1" customHeight="1" x14ac:dyDescent="0.3">
      <c r="C350" s="195"/>
      <c r="D350" s="195"/>
      <c r="E350" s="195"/>
      <c r="F350" s="195"/>
      <c r="G350" s="195"/>
      <c r="H350" s="195"/>
      <c r="I350" s="195"/>
      <c r="J350" s="195"/>
      <c r="K350" s="195"/>
      <c r="L350" s="195"/>
      <c r="M350" s="195"/>
      <c r="N350" s="195"/>
      <c r="O350" s="195"/>
      <c r="P350" s="195"/>
      <c r="Q350" s="195"/>
      <c r="R350" s="195"/>
    </row>
    <row r="351" spans="3:18" s="177" customFormat="1" ht="17.100000000000001" hidden="1" customHeight="1" x14ac:dyDescent="0.3">
      <c r="C351" s="195"/>
      <c r="D351" s="195"/>
      <c r="E351" s="195"/>
      <c r="F351" s="195"/>
      <c r="G351" s="195"/>
      <c r="H351" s="195"/>
      <c r="I351" s="195"/>
      <c r="J351" s="195"/>
      <c r="K351" s="195"/>
      <c r="L351" s="195"/>
      <c r="M351" s="195"/>
      <c r="N351" s="195"/>
      <c r="O351" s="195"/>
      <c r="P351" s="195"/>
      <c r="Q351" s="195"/>
      <c r="R351" s="195"/>
    </row>
    <row r="352" spans="3:18" s="177" customFormat="1" ht="17.100000000000001" hidden="1" customHeight="1" x14ac:dyDescent="0.3">
      <c r="C352" s="195"/>
      <c r="D352" s="195"/>
      <c r="E352" s="195"/>
      <c r="F352" s="195"/>
      <c r="G352" s="195"/>
      <c r="H352" s="195"/>
      <c r="I352" s="195"/>
      <c r="J352" s="195"/>
      <c r="K352" s="195"/>
      <c r="L352" s="195"/>
      <c r="M352" s="195"/>
      <c r="N352" s="195"/>
      <c r="O352" s="195"/>
      <c r="P352" s="195"/>
      <c r="Q352" s="195"/>
      <c r="R352" s="195"/>
    </row>
    <row r="353" spans="3:18" s="177" customFormat="1" ht="17.100000000000001" hidden="1" customHeight="1" x14ac:dyDescent="0.3">
      <c r="C353" s="195"/>
      <c r="D353" s="195"/>
      <c r="E353" s="195"/>
      <c r="F353" s="195"/>
      <c r="G353" s="195"/>
      <c r="H353" s="195"/>
      <c r="I353" s="195"/>
      <c r="J353" s="195"/>
      <c r="K353" s="195"/>
      <c r="L353" s="195"/>
      <c r="M353" s="195"/>
      <c r="N353" s="195"/>
      <c r="O353" s="195"/>
      <c r="P353" s="195"/>
      <c r="Q353" s="195"/>
      <c r="R353" s="195"/>
    </row>
    <row r="354" spans="3:18" s="177" customFormat="1" ht="17.100000000000001" hidden="1" customHeight="1" x14ac:dyDescent="0.3">
      <c r="C354" s="195"/>
      <c r="D354" s="195"/>
      <c r="E354" s="195"/>
      <c r="F354" s="195"/>
      <c r="G354" s="195"/>
      <c r="H354" s="195"/>
      <c r="I354" s="195"/>
      <c r="J354" s="195"/>
      <c r="K354" s="195"/>
      <c r="L354" s="195"/>
      <c r="M354" s="195"/>
      <c r="N354" s="195"/>
      <c r="O354" s="195"/>
      <c r="P354" s="195"/>
      <c r="Q354" s="195"/>
      <c r="R354" s="195"/>
    </row>
    <row r="355" spans="3:18" s="177" customFormat="1" ht="17.100000000000001" hidden="1" customHeight="1" x14ac:dyDescent="0.3">
      <c r="C355" s="195"/>
      <c r="D355" s="195"/>
      <c r="E355" s="195"/>
      <c r="F355" s="195"/>
      <c r="G355" s="195"/>
      <c r="H355" s="195"/>
      <c r="I355" s="195"/>
      <c r="J355" s="195"/>
      <c r="K355" s="195"/>
      <c r="L355" s="195"/>
      <c r="M355" s="195"/>
      <c r="N355" s="195"/>
      <c r="O355" s="195"/>
      <c r="P355" s="195"/>
      <c r="Q355" s="195"/>
      <c r="R355" s="195"/>
    </row>
    <row r="356" spans="3:18" s="177" customFormat="1" ht="17.100000000000001" hidden="1" customHeight="1" x14ac:dyDescent="0.3">
      <c r="C356" s="195"/>
      <c r="D356" s="195"/>
      <c r="E356" s="195"/>
      <c r="F356" s="195"/>
      <c r="G356" s="195"/>
      <c r="H356" s="195"/>
      <c r="I356" s="195"/>
      <c r="J356" s="195"/>
      <c r="K356" s="195"/>
      <c r="L356" s="195"/>
      <c r="M356" s="195"/>
      <c r="N356" s="195"/>
      <c r="O356" s="195"/>
      <c r="P356" s="195"/>
      <c r="Q356" s="195"/>
      <c r="R356" s="195"/>
    </row>
    <row r="357" spans="3:18" s="177" customFormat="1" ht="17.100000000000001" hidden="1" customHeight="1" x14ac:dyDescent="0.3">
      <c r="C357" s="195"/>
      <c r="D357" s="195"/>
      <c r="E357" s="195"/>
      <c r="F357" s="195"/>
      <c r="G357" s="195"/>
      <c r="H357" s="195"/>
      <c r="I357" s="195"/>
      <c r="J357" s="195"/>
      <c r="K357" s="195"/>
      <c r="L357" s="195"/>
      <c r="M357" s="195"/>
      <c r="N357" s="195"/>
      <c r="O357" s="195"/>
      <c r="P357" s="195"/>
      <c r="Q357" s="195"/>
      <c r="R357" s="195"/>
    </row>
    <row r="358" spans="3:18" s="177" customFormat="1" ht="17.100000000000001" hidden="1" customHeight="1" x14ac:dyDescent="0.3">
      <c r="C358" s="195"/>
      <c r="D358" s="195"/>
      <c r="E358" s="195"/>
      <c r="F358" s="195"/>
      <c r="G358" s="195"/>
      <c r="H358" s="195"/>
      <c r="I358" s="195"/>
      <c r="J358" s="195"/>
      <c r="K358" s="195"/>
      <c r="L358" s="195"/>
      <c r="M358" s="195"/>
      <c r="N358" s="195"/>
      <c r="O358" s="195"/>
      <c r="P358" s="195"/>
      <c r="Q358" s="195"/>
      <c r="R358" s="195"/>
    </row>
    <row r="359" spans="3:18" s="177" customFormat="1" ht="17.100000000000001" hidden="1" customHeight="1" thickBot="1" x14ac:dyDescent="0.35">
      <c r="C359" s="195"/>
      <c r="D359" s="195"/>
      <c r="E359" s="195"/>
      <c r="F359" s="195"/>
      <c r="G359" s="195"/>
      <c r="H359" s="195"/>
      <c r="I359" s="195"/>
      <c r="J359" s="195"/>
      <c r="K359" s="195"/>
      <c r="L359" s="195"/>
      <c r="M359" s="195"/>
      <c r="N359" s="195"/>
      <c r="O359" s="195"/>
      <c r="P359" s="195"/>
      <c r="Q359" s="195"/>
      <c r="R359" s="195"/>
    </row>
    <row r="360" spans="3:18" s="177" customFormat="1" ht="17.100000000000001" hidden="1" customHeight="1" x14ac:dyDescent="0.3">
      <c r="C360" s="195"/>
      <c r="D360" s="195"/>
      <c r="E360" s="195"/>
      <c r="F360" s="195"/>
      <c r="G360" s="587" t="s">
        <v>330</v>
      </c>
      <c r="H360" s="588"/>
      <c r="I360" s="588"/>
      <c r="J360" s="588"/>
      <c r="K360" s="588"/>
      <c r="L360" s="588"/>
      <c r="M360" s="589"/>
      <c r="N360" s="195"/>
      <c r="O360" s="195"/>
      <c r="P360" s="195"/>
      <c r="Q360" s="195"/>
      <c r="R360" s="195"/>
    </row>
    <row r="361" spans="3:18" s="177" customFormat="1" ht="17.100000000000001" hidden="1" customHeight="1" x14ac:dyDescent="0.3">
      <c r="C361" s="195"/>
      <c r="D361" s="195"/>
      <c r="E361" s="195"/>
      <c r="F361" s="195"/>
      <c r="G361" s="275" t="s">
        <v>331</v>
      </c>
      <c r="H361" s="209" t="s">
        <v>332</v>
      </c>
      <c r="I361" s="209" t="s">
        <v>333</v>
      </c>
      <c r="J361" s="209" t="s">
        <v>334</v>
      </c>
      <c r="K361" s="209" t="s">
        <v>335</v>
      </c>
      <c r="L361" s="209" t="s">
        <v>336</v>
      </c>
      <c r="M361" s="210" t="s">
        <v>337</v>
      </c>
      <c r="N361" s="195"/>
      <c r="O361" s="434" t="s">
        <v>338</v>
      </c>
      <c r="P361" s="434" t="s">
        <v>339</v>
      </c>
      <c r="Q361" s="434" t="s">
        <v>12</v>
      </c>
      <c r="R361" s="434" t="s">
        <v>340</v>
      </c>
    </row>
    <row r="362" spans="3:18" s="177" customFormat="1" ht="17.100000000000001" hidden="1" customHeight="1" x14ac:dyDescent="0.3">
      <c r="C362" s="195"/>
      <c r="D362" s="195"/>
      <c r="E362" s="435" t="s">
        <v>341</v>
      </c>
      <c r="F362" s="195"/>
      <c r="G362" s="280" t="s">
        <v>141</v>
      </c>
      <c r="H362" s="281">
        <f>IFERROR(G134*FabricMapping!$J$72,0)*R362</f>
        <v>7275</v>
      </c>
      <c r="I362" s="281">
        <f t="shared" ref="I362:I372" si="13">IFERROR(H362*$G$15,0)</f>
        <v>363750</v>
      </c>
      <c r="J362" s="281">
        <f>IFERROR((I362*52)/12,0)</f>
        <v>1576250</v>
      </c>
      <c r="K362" s="282">
        <f>IFERROR(H362/$H$373,0)</f>
        <v>9.796396541973014E-2</v>
      </c>
      <c r="L362" s="283" t="str">
        <f>IFERROR(VLOOKUP(H362,FabricMapping!$C$11:$F$21,4,1),0)</f>
        <v>F8</v>
      </c>
      <c r="M362" s="284">
        <f>IFERROR(H362/VLOOKUP(L362,FabricMapping!$F$11:$J$21,3,0),0)</f>
        <v>0.63151041666666663</v>
      </c>
      <c r="N362" s="195"/>
      <c r="O362" s="434">
        <f>FabricMapping!J73</f>
        <v>1</v>
      </c>
      <c r="P362" s="434">
        <f>O362</f>
        <v>1</v>
      </c>
      <c r="Q362" s="434">
        <f>P362</f>
        <v>1</v>
      </c>
      <c r="R362" s="435" t="b">
        <f>OR(O362:Q362)</f>
        <v>1</v>
      </c>
    </row>
    <row r="363" spans="3:18" s="177" customFormat="1" ht="17.100000000000001" hidden="1" customHeight="1" x14ac:dyDescent="0.3">
      <c r="C363" s="195"/>
      <c r="D363" s="195"/>
      <c r="E363" s="435" t="s">
        <v>342</v>
      </c>
      <c r="F363" s="195"/>
      <c r="G363" s="280" t="s">
        <v>142</v>
      </c>
      <c r="H363" s="281">
        <f>IFERROR(G166*FabricMapping!$H$66,0)*R363</f>
        <v>1209</v>
      </c>
      <c r="I363" s="281">
        <f t="shared" si="13"/>
        <v>60450</v>
      </c>
      <c r="J363" s="281">
        <f>IFERROR((I363*52)/12,0)</f>
        <v>261950</v>
      </c>
      <c r="K363" s="282">
        <f t="shared" ref="K363:K372" si="14">IFERROR(H363/$H$373,0)</f>
        <v>1.6280197139856185E-2</v>
      </c>
      <c r="L363" s="283" t="str">
        <f>IFERROR(VLOOKUP(H363,FabricMapping!$C$11:$F$21,4,1),0)</f>
        <v>F2</v>
      </c>
      <c r="M363" s="284">
        <f>IFERROR(H363/VLOOKUP(L363,FabricMapping!$F$11:$J$21,3,0),0)</f>
        <v>0.41979166666666667</v>
      </c>
      <c r="N363" s="195"/>
      <c r="O363" s="434">
        <f>FabricMapping!H67</f>
        <v>1</v>
      </c>
      <c r="P363" s="434">
        <f>O363</f>
        <v>1</v>
      </c>
      <c r="Q363" s="434">
        <f>P363</f>
        <v>1</v>
      </c>
      <c r="R363" s="435" t="b">
        <f t="shared" ref="R363:R372" si="15">OR(O363:Q363)</f>
        <v>1</v>
      </c>
    </row>
    <row r="364" spans="3:18" s="177" customFormat="1" ht="17.100000000000001" hidden="1" customHeight="1" x14ac:dyDescent="0.3">
      <c r="C364" s="195"/>
      <c r="D364" s="195"/>
      <c r="E364" s="435" t="s">
        <v>343</v>
      </c>
      <c r="F364" s="195"/>
      <c r="G364" s="280" t="s">
        <v>143</v>
      </c>
      <c r="H364" s="281">
        <f>IFERROR(G80,0)*R364</f>
        <v>1284</v>
      </c>
      <c r="I364" s="281">
        <f t="shared" si="13"/>
        <v>64200</v>
      </c>
      <c r="J364" s="281">
        <f>IFERROR((I364*52)/12,0)</f>
        <v>278200</v>
      </c>
      <c r="K364" s="282">
        <f t="shared" si="14"/>
        <v>1.7290134927688456E-2</v>
      </c>
      <c r="L364" s="283" t="str">
        <f>IFERROR(VLOOKUP(H364,FabricMapping!$C$11:$F$21,4,1),0)</f>
        <v>F2</v>
      </c>
      <c r="M364" s="284">
        <f>IFERROR(H364/VLOOKUP(L364,FabricMapping!$F$11:$J$21,3,0),0)</f>
        <v>0.44583333333333336</v>
      </c>
      <c r="N364" s="195"/>
      <c r="O364" s="434">
        <f>IF(UserInputs!$D$4="Data Lakehouse",1,0)</f>
        <v>1</v>
      </c>
      <c r="P364" s="434">
        <f>IF(UserInputs!$D$4="Modern Data Warehouse",1,0)*ISNUMBER(SEARCH("*"&amp;P$361&amp;"*",$E364))</f>
        <v>0</v>
      </c>
      <c r="Q364" s="434">
        <f>IF(UserInputs!$D$4="Data Lakehouse-Spark only",1,0)*ISNUMBER(SEARCH("*"&amp;Q$361&amp;"*",$E364))</f>
        <v>0</v>
      </c>
      <c r="R364" s="435" t="b">
        <f t="shared" si="15"/>
        <v>1</v>
      </c>
    </row>
    <row r="365" spans="3:18" s="177" customFormat="1" ht="17.100000000000001" hidden="1" customHeight="1" x14ac:dyDescent="0.3">
      <c r="C365" s="195"/>
      <c r="D365" s="195"/>
      <c r="E365" s="435" t="s">
        <v>342</v>
      </c>
      <c r="F365" s="195"/>
      <c r="G365" s="280" t="s">
        <v>144</v>
      </c>
      <c r="H365" s="281">
        <f>IF(UserInputs!$D$4="Modern Data Warehouse",0,IFERROR(G105,0))*R365</f>
        <v>6700</v>
      </c>
      <c r="I365" s="281">
        <f t="shared" si="13"/>
        <v>335000</v>
      </c>
      <c r="J365" s="281">
        <f>IFERROR((I365*52)/12,0)</f>
        <v>1451666.6666666667</v>
      </c>
      <c r="K365" s="282">
        <f t="shared" si="14"/>
        <v>9.0221109046349418E-2</v>
      </c>
      <c r="L365" s="283" t="str">
        <f>IFERROR(VLOOKUP(H365,FabricMapping!$C$11:$F$21,4,1),0)</f>
        <v>F8</v>
      </c>
      <c r="M365" s="284">
        <f>IFERROR(H365/VLOOKUP(L365,FabricMapping!$F$11:$J$21,3,0),0)</f>
        <v>0.58159722222222221</v>
      </c>
      <c r="N365" s="195"/>
      <c r="O365" s="434">
        <f>IF(UserInputs!$D$4="Data Lakehouse",1,0)</f>
        <v>1</v>
      </c>
      <c r="P365" s="434">
        <f>IF(UserInputs!$D$4="Modern Data Warehouse",1,0)*ISNUMBER(SEARCH("*"&amp;P$361&amp;"*",$E365))</f>
        <v>0</v>
      </c>
      <c r="Q365" s="434">
        <f>IF(UserInputs!$D$4="Data Lakehouse-Spark only",1,0)*ISNUMBER(SEARCH("*"&amp;Q$361&amp;"*",$E365))</f>
        <v>0</v>
      </c>
      <c r="R365" s="435" t="b">
        <f t="shared" si="15"/>
        <v>1</v>
      </c>
    </row>
    <row r="366" spans="3:18" s="177" customFormat="1" ht="17.100000000000001" hidden="1" customHeight="1" x14ac:dyDescent="0.3">
      <c r="C366" s="195"/>
      <c r="D366" s="195"/>
      <c r="E366" s="435" t="s">
        <v>344</v>
      </c>
      <c r="F366" s="195"/>
      <c r="G366" s="280" t="s">
        <v>145</v>
      </c>
      <c r="H366" s="281">
        <f>IFERROR(G214,0)*R366</f>
        <v>1536</v>
      </c>
      <c r="I366" s="281">
        <f>IFERROR(H366*$G$3,0)</f>
        <v>43008</v>
      </c>
      <c r="J366" s="281">
        <f t="shared" ref="J366:J372" si="16">IFERROR((I366*52)/12,0)</f>
        <v>186368</v>
      </c>
      <c r="K366" s="282">
        <f t="shared" si="14"/>
        <v>2.0683525894804881E-2</v>
      </c>
      <c r="L366" s="283" t="str">
        <f>IFERROR(VLOOKUP(H366,FabricMapping!$C$11:$F$21,4,1),0)</f>
        <v>F2</v>
      </c>
      <c r="M366" s="284">
        <f>IFERROR(H366/VLOOKUP(L366,FabricMapping!$F$11:$J$21,3,0),0)</f>
        <v>0.53333333333333333</v>
      </c>
      <c r="N366" s="195"/>
      <c r="O366" s="434">
        <f>IF(UserInputs!$D$4="Data Lakehouse",1,0)</f>
        <v>1</v>
      </c>
      <c r="P366" s="434">
        <f>IF(UserInputs!$D$4="Modern Data Warehouse",1,0)*ISNUMBER(SEARCH("*"&amp;P$361&amp;"*",$E366))</f>
        <v>0</v>
      </c>
      <c r="Q366" s="434">
        <f>IF(UserInputs!$D$4="Data Lakehouse-Spark only",1,0)*ISNUMBER(SEARCH("*"&amp;Q$361&amp;"*",$E366))</f>
        <v>0</v>
      </c>
      <c r="R366" s="435" t="b">
        <f t="shared" si="15"/>
        <v>1</v>
      </c>
    </row>
    <row r="367" spans="3:18" s="177" customFormat="1" ht="17.100000000000001" hidden="1" customHeight="1" x14ac:dyDescent="0.3">
      <c r="C367" s="195"/>
      <c r="D367" s="195"/>
      <c r="E367" s="435" t="s">
        <v>344</v>
      </c>
      <c r="F367" s="195"/>
      <c r="G367" s="280" t="s">
        <v>146</v>
      </c>
      <c r="H367" s="281">
        <f>IFERROR(G230,0)*R367</f>
        <v>1920.0000000000002</v>
      </c>
      <c r="I367" s="281">
        <f>IFERROR(H367*$G$3,0)</f>
        <v>53760.000000000007</v>
      </c>
      <c r="J367" s="281">
        <f t="shared" ref="J367" si="17">IFERROR((I367*52)/12,0)</f>
        <v>232960.00000000003</v>
      </c>
      <c r="K367" s="282">
        <f t="shared" ref="K367:K368" si="18">IFERROR(H367/$H$373,0)</f>
        <v>2.5854407368506103E-2</v>
      </c>
      <c r="L367" s="283" t="str">
        <f>IFERROR(VLOOKUP(H367,FabricMapping!$C$11:$F$21,4,1),0)</f>
        <v>F2</v>
      </c>
      <c r="M367" s="284">
        <f>IFERROR(H367/VLOOKUP(L367,FabricMapping!$F$11:$J$21,3,0),0)</f>
        <v>0.66666666666666674</v>
      </c>
      <c r="N367" s="195"/>
      <c r="O367" s="434">
        <f>FabricMapping!O79</f>
        <v>1</v>
      </c>
      <c r="P367" s="434">
        <f>O367</f>
        <v>1</v>
      </c>
      <c r="Q367" s="434">
        <f>P367</f>
        <v>1</v>
      </c>
      <c r="R367" s="435" t="b">
        <f t="shared" si="15"/>
        <v>1</v>
      </c>
    </row>
    <row r="368" spans="3:18" s="177" customFormat="1" ht="16.5" hidden="1" customHeight="1" x14ac:dyDescent="0.3">
      <c r="C368" s="195"/>
      <c r="D368" s="195"/>
      <c r="E368" s="435" t="s">
        <v>343</v>
      </c>
      <c r="F368" s="195"/>
      <c r="G368" s="280" t="s">
        <v>147</v>
      </c>
      <c r="H368" s="281">
        <f>IFERROR(G193,0)*R368</f>
        <v>3840</v>
      </c>
      <c r="I368" s="281">
        <f>IFERROR(H368*$G$3,0)</f>
        <v>107520</v>
      </c>
      <c r="J368" s="281">
        <f t="shared" si="16"/>
        <v>465920</v>
      </c>
      <c r="K368" s="282">
        <f t="shared" si="18"/>
        <v>5.17088147370122E-2</v>
      </c>
      <c r="L368" s="283" t="str">
        <f>IFERROR(VLOOKUP(H368,FabricMapping!$C$11:$F$21,4,1),0)</f>
        <v>F4</v>
      </c>
      <c r="M368" s="284">
        <f>IFERROR(H368/VLOOKUP(L368,FabricMapping!$F$11:$J$21,3,0),0)</f>
        <v>0.66666666666666663</v>
      </c>
      <c r="N368" s="195"/>
      <c r="O368" s="434">
        <f>IF(UserInputs!$D$4="Data Lakehouse",1,0)</f>
        <v>1</v>
      </c>
      <c r="P368" s="434">
        <f>IF(UserInputs!$D$4="Modern Data Warehouse",1,0)*ISNUMBER(SEARCH("*"&amp;P$361&amp;"*",$E368))</f>
        <v>0</v>
      </c>
      <c r="Q368" s="434">
        <f>IF(UserInputs!$D$4="Data Lakehouse-Spark only",1,0)*ISNUMBER(SEARCH("*"&amp;Q$361&amp;"*",$E368))</f>
        <v>0</v>
      </c>
      <c r="R368" s="435" t="b">
        <f t="shared" si="15"/>
        <v>1</v>
      </c>
    </row>
    <row r="369" spans="5:18" s="177" customFormat="1" ht="17.100000000000001" hidden="1" customHeight="1" x14ac:dyDescent="0.3">
      <c r="E369" s="435" t="s">
        <v>344</v>
      </c>
      <c r="F369" s="195"/>
      <c r="G369" s="280" t="s">
        <v>148</v>
      </c>
      <c r="H369" s="281">
        <f>IFERROR(G255,0)*R369</f>
        <v>24000</v>
      </c>
      <c r="I369" s="281">
        <f>IFERROR(H369*$G$3,0)</f>
        <v>672000</v>
      </c>
      <c r="J369" s="281">
        <f t="shared" si="16"/>
        <v>2912000</v>
      </c>
      <c r="K369" s="282">
        <f t="shared" si="14"/>
        <v>0.32318009210632626</v>
      </c>
      <c r="L369" s="283" t="str">
        <f>IFERROR(VLOOKUP(H369,FabricMapping!$C$11:$F$21,4,1),0)</f>
        <v>F32</v>
      </c>
      <c r="M369" s="284">
        <f>IFERROR(H369/VLOOKUP(L369,FabricMapping!$F$11:$J$21,3,0),0)</f>
        <v>0.52083333333333337</v>
      </c>
      <c r="N369" s="195"/>
      <c r="O369" s="434">
        <f>FabricMapping!$J$85</f>
        <v>1</v>
      </c>
      <c r="P369" s="434">
        <f>O369</f>
        <v>1</v>
      </c>
      <c r="Q369" s="434">
        <f>P369</f>
        <v>1</v>
      </c>
      <c r="R369" s="435" t="b">
        <f t="shared" si="15"/>
        <v>1</v>
      </c>
    </row>
    <row r="370" spans="5:18" s="177" customFormat="1" ht="17.100000000000001" hidden="1" customHeight="1" x14ac:dyDescent="0.3">
      <c r="E370" s="435" t="s">
        <v>343</v>
      </c>
      <c r="F370" s="195"/>
      <c r="G370" s="280" t="s">
        <v>149</v>
      </c>
      <c r="H370" s="281">
        <f>K317*R370</f>
        <v>17399</v>
      </c>
      <c r="I370" s="281">
        <f t="shared" si="13"/>
        <v>869950</v>
      </c>
      <c r="J370" s="281">
        <f t="shared" si="16"/>
        <v>3769783.3333333335</v>
      </c>
      <c r="K370" s="282">
        <f t="shared" si="14"/>
        <v>0.23429210093991543</v>
      </c>
      <c r="L370" s="283" t="str">
        <f>IFERROR(VLOOKUP(H370,FabricMapping!$C$11:$F$21,4,1),0)</f>
        <v>F16</v>
      </c>
      <c r="M370" s="284">
        <f>IFERROR(H370/VLOOKUP(L370,FabricMapping!$F$11:$J$21,3,0),0)</f>
        <v>0.75516493055555556</v>
      </c>
      <c r="N370" s="195"/>
      <c r="O370" s="434">
        <f>IF(UserInputs!$D$4="Data Lakehouse",1,0)</f>
        <v>1</v>
      </c>
      <c r="P370" s="434">
        <f>IF(UserInputs!$D$4="Modern Data Warehouse",1,0)*ISNUMBER(SEARCH("*"&amp;P$361&amp;"*",$E370))</f>
        <v>0</v>
      </c>
      <c r="Q370" s="434">
        <f>IF(UserInputs!$D$4="Data Lakehouse-Spark only",1,0)*ISNUMBER(SEARCH("*"&amp;Q$361&amp;"*",$E370))</f>
        <v>0</v>
      </c>
      <c r="R370" s="435" t="b">
        <f t="shared" si="15"/>
        <v>1</v>
      </c>
    </row>
    <row r="371" spans="5:18" s="177" customFormat="1" ht="17.100000000000001" hidden="1" customHeight="1" x14ac:dyDescent="0.3">
      <c r="E371" s="435" t="s">
        <v>343</v>
      </c>
      <c r="F371" s="195"/>
      <c r="G371" s="280" t="s">
        <v>150</v>
      </c>
      <c r="H371" s="281">
        <f>K299*R371</f>
        <v>459</v>
      </c>
      <c r="I371" s="281">
        <f t="shared" si="13"/>
        <v>22950</v>
      </c>
      <c r="J371" s="281">
        <f t="shared" si="16"/>
        <v>99450</v>
      </c>
      <c r="K371" s="282">
        <f t="shared" si="14"/>
        <v>6.1808192615334899E-3</v>
      </c>
      <c r="L371" s="283" t="str">
        <f>IFERROR(VLOOKUP(H371,FabricMapping!$C$11:$F$21,4,1),0)</f>
        <v>F2</v>
      </c>
      <c r="M371" s="284">
        <f>IFERROR(H371/VLOOKUP(L371,FabricMapping!$F$11:$J$21,3,0),0)</f>
        <v>0.15937499999999999</v>
      </c>
      <c r="N371" s="195"/>
      <c r="O371" s="434">
        <f>IF(UserInputs!$D$4="Data Lakehouse",1,0)</f>
        <v>1</v>
      </c>
      <c r="P371" s="434">
        <f>IF(UserInputs!$D$4="Modern Data Warehouse",1,0)*ISNUMBER(SEARCH("*"&amp;P$361&amp;"*",$E371))</f>
        <v>0</v>
      </c>
      <c r="Q371" s="434">
        <f>IF(UserInputs!$D$4="Data Lakehouse-Spark only",1,0)*ISNUMBER(SEARCH("*"&amp;Q$361&amp;"*",$E371))</f>
        <v>0</v>
      </c>
      <c r="R371" s="435" t="b">
        <f t="shared" si="15"/>
        <v>1</v>
      </c>
    </row>
    <row r="372" spans="5:18" s="177" customFormat="1" ht="17.100000000000001" hidden="1" customHeight="1" x14ac:dyDescent="0.3">
      <c r="E372" s="435" t="s">
        <v>343</v>
      </c>
      <c r="F372" s="195"/>
      <c r="G372" s="280" t="s">
        <v>151</v>
      </c>
      <c r="H372" s="281">
        <f>K311*R372</f>
        <v>8640</v>
      </c>
      <c r="I372" s="281">
        <f t="shared" si="13"/>
        <v>432000</v>
      </c>
      <c r="J372" s="281">
        <f t="shared" si="16"/>
        <v>1872000</v>
      </c>
      <c r="K372" s="282">
        <f t="shared" si="14"/>
        <v>0.11634483315827746</v>
      </c>
      <c r="L372" s="283" t="str">
        <f>IFERROR(VLOOKUP(H372,FabricMapping!$C$11:$F$21,4,1),0)</f>
        <v>F8</v>
      </c>
      <c r="M372" s="284">
        <f>IFERROR(H372/VLOOKUP(L372,FabricMapping!$F$11:$J$21,3,0),0)</f>
        <v>0.75</v>
      </c>
      <c r="N372" s="195"/>
      <c r="O372" s="434">
        <f>IF(UserInputs!$D$4="Data Lakehouse",1,0)</f>
        <v>1</v>
      </c>
      <c r="P372" s="434">
        <f>IF(UserInputs!$D$4="Modern Data Warehouse",1,0)*ISNUMBER(SEARCH("*"&amp;P$361&amp;"*",$E372))</f>
        <v>0</v>
      </c>
      <c r="Q372" s="434">
        <f>IF(UserInputs!$D$4="Data Lakehouse-Spark only",1,0)*ISNUMBER(SEARCH("*"&amp;Q$361&amp;"*",$E372))</f>
        <v>0</v>
      </c>
      <c r="R372" s="435" t="b">
        <f t="shared" si="15"/>
        <v>1</v>
      </c>
    </row>
    <row r="373" spans="5:18" s="177" customFormat="1" ht="17.100000000000001" hidden="1" customHeight="1" x14ac:dyDescent="0.3">
      <c r="E373" s="195"/>
      <c r="F373" s="195"/>
      <c r="G373" s="280" t="s">
        <v>345</v>
      </c>
      <c r="H373" s="281">
        <f>SUM(H362:H372)</f>
        <v>74262</v>
      </c>
      <c r="I373" s="281">
        <f>IFERROR(SUM(I362:I372),0)</f>
        <v>3024588</v>
      </c>
      <c r="J373" s="281">
        <f>IFERROR(SUM(J362:J372),0)</f>
        <v>13106548</v>
      </c>
      <c r="K373" s="282"/>
      <c r="L373" s="285" t="str">
        <f>IFERROR(VLOOKUP(H373,FabricMapping!$C$11:$F$21,4,1),0)</f>
        <v>F64</v>
      </c>
      <c r="M373" s="286">
        <f>IFERROR(H373/VLOOKUP(L373,FabricMapping!$F$11:$J$21,3,0),0)</f>
        <v>0.80579427083333333</v>
      </c>
      <c r="N373" s="195"/>
      <c r="O373" s="195"/>
      <c r="P373" s="195"/>
      <c r="Q373" s="195"/>
      <c r="R373" s="195"/>
    </row>
    <row r="374" spans="5:18" s="177" customFormat="1" ht="17.100000000000001" hidden="1" customHeight="1" x14ac:dyDescent="0.3">
      <c r="E374" s="195"/>
      <c r="F374" s="195"/>
      <c r="G374" s="280"/>
      <c r="H374" s="287"/>
      <c r="I374" s="287"/>
      <c r="J374" s="287"/>
      <c r="K374" s="282"/>
      <c r="L374" s="283"/>
      <c r="M374" s="288"/>
      <c r="N374" s="195"/>
      <c r="O374" s="195"/>
      <c r="P374" s="195"/>
      <c r="Q374" s="195"/>
      <c r="R374" s="195"/>
    </row>
    <row r="375" spans="5:18" s="177" customFormat="1" ht="17.100000000000001" hidden="1" customHeight="1" x14ac:dyDescent="0.3">
      <c r="E375" s="195"/>
      <c r="F375" s="195"/>
      <c r="G375" s="280" t="s">
        <v>346</v>
      </c>
      <c r="H375" s="287" t="str">
        <f>IFERROR(VLOOKUP(H373,FabricMapping!$C$11:$F$21,4,1),0)</f>
        <v>F64</v>
      </c>
      <c r="I375" s="287" t="str">
        <f>IFERROR(VLOOKUP(I373,FabricMapping!$D$11:$F$21,3,1),0)</f>
        <v>F512</v>
      </c>
      <c r="J375" s="287" t="str">
        <f>IFERROR(VLOOKUP(J373,FabricMapping!$E$11:$F$21,2,1),0)</f>
        <v>F512</v>
      </c>
      <c r="K375" s="287"/>
      <c r="L375" s="287"/>
      <c r="M375" s="288"/>
      <c r="N375" s="195"/>
      <c r="O375" s="195"/>
      <c r="P375" s="195"/>
      <c r="Q375" s="195"/>
      <c r="R375" s="195"/>
    </row>
    <row r="376" spans="5:18" s="177" customFormat="1" ht="17.100000000000001" hidden="1" customHeight="1" thickBot="1" x14ac:dyDescent="0.35">
      <c r="E376" s="195"/>
      <c r="F376" s="195"/>
      <c r="G376" s="289" t="s">
        <v>347</v>
      </c>
      <c r="H376" s="290">
        <f>IFERROR(H373/VLOOKUP(H375,FabricMapping!$F$11:$J$21,3,0),0)</f>
        <v>0.80579427083333333</v>
      </c>
      <c r="I376" s="290">
        <f>IFERROR(I373/VLOOKUP(I375,FabricMapping!$F$11:$J$21,4,0),0)</f>
        <v>0.58605143229166667</v>
      </c>
      <c r="J376" s="290">
        <f>IFERROR(J373/VLOOKUP(J375,FabricMapping!$F$11:$J$21,5,0),0)</f>
        <v>0.58605143229166667</v>
      </c>
      <c r="K376" s="291"/>
      <c r="L376" s="291"/>
      <c r="M376" s="292"/>
      <c r="N376" s="195"/>
      <c r="O376" s="195"/>
      <c r="P376" s="195"/>
      <c r="Q376" s="195"/>
      <c r="R376" s="195"/>
    </row>
    <row r="377" spans="5:18" s="177" customFormat="1" ht="17.100000000000001" hidden="1" customHeight="1" x14ac:dyDescent="0.3">
      <c r="E377" s="195"/>
      <c r="F377" s="195"/>
      <c r="G377" s="49"/>
      <c r="H377" s="49"/>
      <c r="I377" s="49"/>
      <c r="J377" s="49"/>
      <c r="K377" s="49"/>
      <c r="L377" s="49"/>
      <c r="M377" s="49"/>
      <c r="N377" s="195"/>
      <c r="O377" s="195"/>
      <c r="P377" s="195"/>
      <c r="Q377" s="195"/>
      <c r="R377" s="195"/>
    </row>
    <row r="378" spans="5:18" s="177" customFormat="1" ht="17.100000000000001" hidden="1" customHeight="1" x14ac:dyDescent="0.3">
      <c r="E378" s="195"/>
      <c r="F378" s="195"/>
      <c r="G378" s="195"/>
      <c r="H378" s="195"/>
      <c r="I378" s="195"/>
      <c r="J378" s="195"/>
      <c r="K378" s="195"/>
      <c r="L378" s="195"/>
      <c r="M378" s="195"/>
      <c r="N378" s="195"/>
      <c r="O378" s="195"/>
      <c r="P378" s="195"/>
      <c r="Q378" s="195"/>
      <c r="R378" s="195"/>
    </row>
    <row r="379" spans="5:18" s="177" customFormat="1" ht="17.100000000000001" hidden="1" customHeight="1" x14ac:dyDescent="0.3">
      <c r="E379" s="195"/>
      <c r="F379" s="195"/>
      <c r="G379" s="195"/>
      <c r="H379" s="195"/>
      <c r="I379" s="195"/>
      <c r="J379" s="195"/>
      <c r="K379" s="195"/>
      <c r="L379" s="195"/>
      <c r="M379" s="195"/>
      <c r="N379" s="195"/>
      <c r="O379" s="195"/>
      <c r="P379" s="195"/>
      <c r="Q379" s="195"/>
      <c r="R379" s="195"/>
    </row>
    <row r="380" spans="5:18" s="177" customFormat="1" ht="17.100000000000001" hidden="1" customHeight="1" x14ac:dyDescent="0.3">
      <c r="E380" s="195"/>
      <c r="F380" s="195"/>
      <c r="G380" s="195"/>
      <c r="H380" s="195"/>
      <c r="I380" s="195"/>
      <c r="J380" s="195"/>
      <c r="K380" s="195"/>
      <c r="L380" s="195"/>
      <c r="M380" s="195"/>
      <c r="N380" s="195"/>
      <c r="O380" s="195"/>
      <c r="P380" s="195"/>
      <c r="Q380" s="195"/>
      <c r="R380" s="195"/>
    </row>
    <row r="381" spans="5:18" s="177" customFormat="1" ht="17.100000000000001" hidden="1" customHeight="1" x14ac:dyDescent="0.3">
      <c r="E381" s="195"/>
      <c r="F381" s="195"/>
      <c r="G381" s="195"/>
      <c r="H381" s="195"/>
      <c r="I381" s="195"/>
      <c r="J381" s="195"/>
      <c r="K381" s="195"/>
      <c r="L381" s="195"/>
      <c r="M381" s="195"/>
      <c r="N381" s="195"/>
      <c r="O381" s="195"/>
      <c r="P381" s="195"/>
      <c r="Q381" s="195"/>
      <c r="R381" s="195"/>
    </row>
    <row r="382" spans="5:18" s="177" customFormat="1" ht="17.100000000000001" hidden="1" customHeight="1" x14ac:dyDescent="0.3">
      <c r="E382" s="195"/>
      <c r="F382" s="195"/>
      <c r="G382" s="195"/>
      <c r="H382" s="195"/>
      <c r="I382" s="195"/>
      <c r="J382" s="195"/>
      <c r="K382" s="195"/>
      <c r="L382" s="195"/>
      <c r="M382" s="195"/>
      <c r="N382" s="195"/>
      <c r="O382" s="195"/>
      <c r="P382" s="195"/>
      <c r="Q382" s="195"/>
      <c r="R382" s="195"/>
    </row>
    <row r="383" spans="5:18" s="177" customFormat="1" ht="17.100000000000001" hidden="1" customHeight="1" x14ac:dyDescent="0.3">
      <c r="E383" s="195"/>
      <c r="F383" s="195"/>
      <c r="G383" s="435"/>
      <c r="H383" s="435"/>
      <c r="I383" s="435"/>
      <c r="J383" s="436"/>
      <c r="K383" s="436"/>
      <c r="L383" s="436"/>
      <c r="M383" s="436"/>
      <c r="N383" s="436"/>
      <c r="O383" s="195"/>
      <c r="P383" s="195"/>
      <c r="Q383" s="195"/>
      <c r="R383" s="195"/>
    </row>
    <row r="384" spans="5:18" s="177" customFormat="1" ht="17.100000000000001" hidden="1" customHeight="1" x14ac:dyDescent="0.3">
      <c r="E384" s="195"/>
      <c r="F384" s="195"/>
      <c r="G384" s="435"/>
      <c r="H384" s="435"/>
      <c r="I384" s="437"/>
      <c r="J384" s="438"/>
      <c r="K384" s="438"/>
      <c r="L384" s="438"/>
      <c r="M384" s="438"/>
      <c r="N384" s="438"/>
      <c r="O384" s="195"/>
      <c r="P384" s="195"/>
      <c r="Q384" s="195"/>
      <c r="R384" s="195"/>
    </row>
    <row r="385" spans="5:18" s="177" customFormat="1" ht="17.100000000000001" hidden="1" customHeight="1" x14ac:dyDescent="0.3">
      <c r="E385" s="195"/>
      <c r="F385" s="195"/>
      <c r="G385" s="435"/>
      <c r="H385" s="435"/>
      <c r="I385" s="437"/>
      <c r="J385" s="438"/>
      <c r="K385" s="438"/>
      <c r="L385" s="438"/>
      <c r="M385" s="438"/>
      <c r="N385" s="438"/>
      <c r="O385" s="195"/>
      <c r="P385" s="195"/>
      <c r="Q385" s="195"/>
      <c r="R385" s="195"/>
    </row>
    <row r="386" spans="5:18" s="177" customFormat="1" ht="17.100000000000001" hidden="1" customHeight="1" x14ac:dyDescent="0.3">
      <c r="E386" s="195"/>
      <c r="F386" s="195"/>
      <c r="G386" s="435"/>
      <c r="H386" s="435"/>
      <c r="I386" s="437"/>
      <c r="J386" s="438"/>
      <c r="K386" s="438"/>
      <c r="L386" s="438"/>
      <c r="M386" s="438"/>
      <c r="N386" s="438"/>
      <c r="O386" s="195"/>
      <c r="P386" s="195"/>
      <c r="Q386" s="195"/>
      <c r="R386" s="195"/>
    </row>
    <row r="387" spans="5:18" s="177" customFormat="1" ht="17.100000000000001" hidden="1" customHeight="1" x14ac:dyDescent="0.3">
      <c r="E387" s="195"/>
      <c r="F387" s="195"/>
      <c r="G387" s="435"/>
      <c r="H387" s="435"/>
      <c r="I387" s="437"/>
      <c r="J387" s="438"/>
      <c r="K387" s="438"/>
      <c r="L387" s="438"/>
      <c r="M387" s="438"/>
      <c r="N387" s="438"/>
      <c r="O387" s="195"/>
      <c r="P387" s="195"/>
      <c r="Q387" s="195"/>
      <c r="R387" s="195"/>
    </row>
    <row r="388" spans="5:18" s="177" customFormat="1" ht="17.100000000000001" hidden="1" customHeight="1" x14ac:dyDescent="0.3">
      <c r="E388" s="195"/>
      <c r="F388" s="195"/>
      <c r="G388" s="435"/>
      <c r="H388" s="435"/>
      <c r="I388" s="437"/>
      <c r="J388" s="438"/>
      <c r="K388" s="438"/>
      <c r="L388" s="438"/>
      <c r="M388" s="438"/>
      <c r="N388" s="438"/>
      <c r="O388" s="195"/>
      <c r="P388" s="195"/>
      <c r="Q388" s="195"/>
      <c r="R388" s="195"/>
    </row>
    <row r="389" spans="5:18" s="177" customFormat="1" ht="17.100000000000001" hidden="1" customHeight="1" x14ac:dyDescent="0.3">
      <c r="E389" s="195"/>
      <c r="F389" s="195"/>
      <c r="G389" s="435"/>
      <c r="H389" s="435"/>
      <c r="I389" s="437"/>
      <c r="J389" s="438"/>
      <c r="K389" s="438"/>
      <c r="L389" s="438"/>
      <c r="M389" s="438"/>
      <c r="N389" s="438"/>
      <c r="O389" s="195"/>
      <c r="P389" s="195"/>
      <c r="Q389" s="195"/>
      <c r="R389" s="195"/>
    </row>
    <row r="390" spans="5:18" s="177" customFormat="1" ht="17.100000000000001" hidden="1" customHeight="1" x14ac:dyDescent="0.3">
      <c r="E390" s="195"/>
      <c r="F390" s="195"/>
      <c r="G390" s="435"/>
      <c r="H390" s="435"/>
      <c r="I390" s="437"/>
      <c r="J390" s="438"/>
      <c r="K390" s="438"/>
      <c r="L390" s="438"/>
      <c r="M390" s="438"/>
      <c r="N390" s="438"/>
      <c r="O390" s="195"/>
      <c r="P390" s="195"/>
      <c r="Q390" s="195"/>
      <c r="R390" s="195"/>
    </row>
    <row r="391" spans="5:18" s="177" customFormat="1" ht="17.100000000000001" hidden="1" customHeight="1" x14ac:dyDescent="0.3">
      <c r="E391" s="195"/>
      <c r="F391" s="195"/>
      <c r="G391" s="435"/>
      <c r="H391" s="435"/>
      <c r="I391" s="437"/>
      <c r="J391" s="438"/>
      <c r="K391" s="438"/>
      <c r="L391" s="438"/>
      <c r="M391" s="438"/>
      <c r="N391" s="438"/>
      <c r="O391" s="195"/>
      <c r="P391" s="195"/>
      <c r="Q391" s="195"/>
      <c r="R391" s="195"/>
    </row>
    <row r="392" spans="5:18" s="177" customFormat="1" ht="17.100000000000001" hidden="1" customHeight="1" x14ac:dyDescent="0.3">
      <c r="E392" s="195"/>
      <c r="F392" s="195"/>
      <c r="G392" s="49"/>
      <c r="H392" s="49"/>
      <c r="I392" s="49"/>
      <c r="J392" s="195"/>
      <c r="K392" s="195"/>
      <c r="L392" s="195"/>
      <c r="M392" s="195"/>
      <c r="N392" s="195"/>
      <c r="O392" s="195"/>
      <c r="P392" s="195"/>
      <c r="Q392" s="195"/>
      <c r="R392" s="195"/>
    </row>
    <row r="393" spans="5:18" s="177" customFormat="1" ht="17.100000000000001" hidden="1" customHeight="1" x14ac:dyDescent="0.3">
      <c r="E393" s="195"/>
      <c r="F393" s="195"/>
      <c r="G393" s="49"/>
      <c r="H393" s="49"/>
      <c r="I393" s="49"/>
      <c r="J393" s="195"/>
      <c r="K393" s="195"/>
      <c r="L393" s="195"/>
      <c r="M393" s="195"/>
      <c r="N393" s="195"/>
      <c r="O393" s="195"/>
      <c r="P393" s="195"/>
      <c r="Q393" s="195"/>
      <c r="R393" s="195"/>
    </row>
    <row r="394" spans="5:18" s="177" customFormat="1" ht="17.100000000000001" hidden="1" customHeight="1" x14ac:dyDescent="0.3">
      <c r="E394" s="195"/>
      <c r="F394" s="195"/>
      <c r="G394" s="49"/>
      <c r="H394" s="49"/>
      <c r="I394" s="49"/>
      <c r="J394" s="195"/>
      <c r="K394" s="195"/>
      <c r="L394" s="195"/>
      <c r="M394" s="195"/>
      <c r="N394" s="195"/>
      <c r="O394" s="195"/>
      <c r="P394" s="195"/>
      <c r="Q394" s="195"/>
      <c r="R394" s="195"/>
    </row>
    <row r="395" spans="5:18" s="177" customFormat="1" ht="17.100000000000001" hidden="1" customHeight="1" x14ac:dyDescent="0.3">
      <c r="E395" s="195"/>
      <c r="F395" s="195"/>
      <c r="G395" s="49"/>
      <c r="H395" s="49"/>
      <c r="I395" s="49"/>
      <c r="J395" s="195"/>
      <c r="K395" s="195"/>
      <c r="L395" s="195"/>
      <c r="M395" s="195"/>
      <c r="N395" s="195"/>
      <c r="O395" s="195"/>
      <c r="P395" s="195"/>
      <c r="Q395" s="195"/>
      <c r="R395" s="195"/>
    </row>
    <row r="396" spans="5:18" s="177" customFormat="1" ht="17.100000000000001" hidden="1" customHeight="1" x14ac:dyDescent="0.3">
      <c r="E396" s="195"/>
      <c r="F396" s="195"/>
      <c r="G396" s="195"/>
      <c r="H396" s="195"/>
      <c r="I396" s="195"/>
      <c r="J396" s="195"/>
      <c r="K396" s="195"/>
      <c r="L396" s="195"/>
      <c r="M396" s="195"/>
      <c r="N396" s="195"/>
      <c r="O396" s="195"/>
      <c r="P396" s="195"/>
      <c r="Q396" s="195"/>
      <c r="R396" s="195"/>
    </row>
    <row r="397" spans="5:18" s="177" customFormat="1" ht="17.100000000000001" hidden="1" customHeight="1" x14ac:dyDescent="0.3">
      <c r="E397" s="195"/>
      <c r="F397" s="195"/>
      <c r="G397" s="195"/>
      <c r="H397" s="195"/>
      <c r="I397" s="195"/>
      <c r="J397" s="195"/>
      <c r="K397" s="195"/>
      <c r="L397" s="195"/>
      <c r="M397" s="195"/>
      <c r="N397" s="195"/>
      <c r="O397" s="195"/>
      <c r="P397" s="195"/>
      <c r="Q397" s="195"/>
      <c r="R397" s="195"/>
    </row>
    <row r="398" spans="5:18" s="177" customFormat="1" ht="17.100000000000001" hidden="1" customHeight="1" x14ac:dyDescent="0.3">
      <c r="E398" s="195"/>
      <c r="F398" s="195"/>
      <c r="G398" s="195"/>
      <c r="H398" s="195"/>
      <c r="I398" s="195"/>
      <c r="J398" s="195"/>
      <c r="K398" s="195"/>
      <c r="L398" s="195"/>
      <c r="M398" s="195"/>
      <c r="N398" s="195"/>
      <c r="O398" s="195"/>
      <c r="P398" s="195"/>
      <c r="Q398" s="195"/>
      <c r="R398" s="195"/>
    </row>
    <row r="399" spans="5:18" s="177" customFormat="1" ht="17.100000000000001" hidden="1" customHeight="1" x14ac:dyDescent="0.3">
      <c r="E399" s="195"/>
      <c r="F399" s="195"/>
      <c r="G399" s="195"/>
      <c r="H399" s="195"/>
      <c r="I399" s="195"/>
      <c r="J399" s="195"/>
      <c r="K399" s="195"/>
      <c r="L399" s="195"/>
      <c r="M399" s="195"/>
      <c r="N399" s="195"/>
      <c r="O399" s="195"/>
      <c r="P399" s="195"/>
      <c r="Q399" s="195"/>
      <c r="R399" s="195"/>
    </row>
    <row r="400" spans="5:18" s="177" customFormat="1" ht="17.100000000000001" hidden="1" customHeight="1" x14ac:dyDescent="0.3">
      <c r="E400" s="195"/>
      <c r="F400" s="195"/>
      <c r="G400" s="195"/>
      <c r="H400" s="195"/>
      <c r="I400" s="195"/>
      <c r="J400" s="195"/>
      <c r="K400" s="195"/>
      <c r="L400" s="195"/>
      <c r="M400" s="195"/>
      <c r="N400" s="195"/>
      <c r="O400" s="195"/>
      <c r="P400" s="195"/>
      <c r="Q400" s="195"/>
      <c r="R400" s="195"/>
    </row>
    <row r="401" spans="7:14" s="177" customFormat="1" ht="17.100000000000001" hidden="1" customHeight="1" x14ac:dyDescent="0.3">
      <c r="G401" s="195"/>
      <c r="H401" s="195"/>
      <c r="I401" s="195"/>
      <c r="J401" s="195"/>
      <c r="K401" s="195"/>
      <c r="L401" s="195"/>
      <c r="M401" s="195"/>
      <c r="N401" s="195"/>
    </row>
    <row r="402" spans="7:14" s="177" customFormat="1" ht="17.100000000000001" hidden="1" customHeight="1" x14ac:dyDescent="0.3">
      <c r="G402" s="195"/>
      <c r="H402" s="195"/>
      <c r="I402" s="195"/>
      <c r="J402" s="195"/>
      <c r="K402" s="195"/>
      <c r="L402" s="195"/>
      <c r="M402" s="195"/>
      <c r="N402" s="195"/>
    </row>
    <row r="403" spans="7:14" s="177" customFormat="1" ht="17.100000000000001" hidden="1" customHeight="1" x14ac:dyDescent="0.3">
      <c r="G403" s="195"/>
      <c r="H403" s="195"/>
      <c r="I403" s="195"/>
      <c r="J403" s="195"/>
      <c r="K403" s="195"/>
      <c r="L403" s="195"/>
      <c r="M403" s="195"/>
      <c r="N403" s="195"/>
    </row>
    <row r="404" spans="7:14" s="177" customFormat="1" ht="17.100000000000001" hidden="1" customHeight="1" x14ac:dyDescent="0.3">
      <c r="G404" s="195"/>
      <c r="H404" s="195"/>
      <c r="I404" s="195"/>
      <c r="J404" s="195"/>
      <c r="K404" s="195"/>
      <c r="L404" s="195"/>
      <c r="M404" s="195"/>
      <c r="N404" s="195"/>
    </row>
    <row r="405" spans="7:14" s="177" customFormat="1" ht="17.100000000000001" hidden="1" customHeight="1" x14ac:dyDescent="0.3">
      <c r="G405" s="195"/>
      <c r="H405" s="195"/>
      <c r="I405" s="195"/>
      <c r="J405" s="195"/>
      <c r="K405" s="195"/>
      <c r="L405" s="195"/>
      <c r="M405" s="195"/>
      <c r="N405" s="195"/>
    </row>
    <row r="406" spans="7:14" s="177" customFormat="1" ht="17.100000000000001" hidden="1" customHeight="1" x14ac:dyDescent="0.3">
      <c r="G406" s="195"/>
      <c r="H406" s="195"/>
      <c r="I406" s="195"/>
      <c r="J406" s="195"/>
      <c r="K406" s="195"/>
      <c r="L406" s="195"/>
      <c r="M406" s="195"/>
      <c r="N406" s="195"/>
    </row>
    <row r="407" spans="7:14" s="177" customFormat="1" ht="17.100000000000001" hidden="1" customHeight="1" x14ac:dyDescent="0.3">
      <c r="G407" s="195"/>
      <c r="H407" s="195"/>
      <c r="I407" s="195"/>
      <c r="J407" s="195"/>
      <c r="K407" s="195"/>
      <c r="L407" s="195"/>
      <c r="M407" s="195"/>
      <c r="N407" s="195"/>
    </row>
    <row r="408" spans="7:14" s="177" customFormat="1" ht="17.100000000000001" hidden="1" customHeight="1" x14ac:dyDescent="0.3">
      <c r="G408" s="195"/>
      <c r="H408" s="195"/>
      <c r="I408" s="195"/>
      <c r="J408" s="195"/>
      <c r="K408" s="195"/>
      <c r="L408" s="195"/>
      <c r="M408" s="195"/>
      <c r="N408" s="195"/>
    </row>
    <row r="409" spans="7:14" s="177" customFormat="1" ht="17.100000000000001" hidden="1" customHeight="1" x14ac:dyDescent="0.3">
      <c r="G409" s="195"/>
      <c r="H409" s="195"/>
      <c r="I409" s="195"/>
      <c r="J409" s="195"/>
      <c r="K409" s="195"/>
      <c r="L409" s="195"/>
      <c r="M409" s="195"/>
      <c r="N409" s="195"/>
    </row>
    <row r="410" spans="7:14" s="177" customFormat="1" ht="17.100000000000001" hidden="1" customHeight="1" x14ac:dyDescent="0.3">
      <c r="G410" s="195"/>
      <c r="H410" s="195"/>
      <c r="I410" s="195"/>
      <c r="J410" s="195"/>
      <c r="K410" s="195"/>
      <c r="L410" s="195"/>
      <c r="M410" s="195"/>
      <c r="N410" s="195"/>
    </row>
    <row r="411" spans="7:14" s="177" customFormat="1" ht="17.100000000000001" hidden="1" customHeight="1" x14ac:dyDescent="0.3">
      <c r="G411" s="195"/>
      <c r="H411" s="195"/>
      <c r="I411" s="195"/>
      <c r="J411" s="195"/>
      <c r="K411" s="195"/>
      <c r="L411" s="195"/>
      <c r="M411" s="195"/>
      <c r="N411" s="195"/>
    </row>
    <row r="412" spans="7:14" s="177" customFormat="1" ht="17.100000000000001" hidden="1" customHeight="1" x14ac:dyDescent="0.3">
      <c r="G412" s="195"/>
      <c r="H412" s="195"/>
      <c r="I412" s="195"/>
      <c r="J412" s="195"/>
      <c r="K412" s="195"/>
      <c r="L412" s="195"/>
      <c r="M412" s="195"/>
      <c r="N412" s="195"/>
    </row>
    <row r="413" spans="7:14" s="177" customFormat="1" ht="17.100000000000001" hidden="1" customHeight="1" x14ac:dyDescent="0.3">
      <c r="G413" s="195"/>
      <c r="H413" s="195"/>
      <c r="I413" s="195"/>
      <c r="J413" s="195"/>
      <c r="K413" s="195"/>
      <c r="L413" s="195"/>
      <c r="M413" s="195"/>
      <c r="N413" s="195"/>
    </row>
    <row r="414" spans="7:14" s="177" customFormat="1" ht="17.100000000000001" hidden="1" customHeight="1" x14ac:dyDescent="0.3">
      <c r="G414" s="195"/>
      <c r="H414" s="195"/>
      <c r="I414" s="195"/>
      <c r="J414" s="195"/>
      <c r="K414" s="195"/>
      <c r="L414" s="195"/>
      <c r="M414" s="195"/>
      <c r="N414" s="195"/>
    </row>
    <row r="417" ht="17.100000000000001" customHeight="1" x14ac:dyDescent="0.3"/>
    <row r="418" ht="17.100000000000001" customHeight="1" x14ac:dyDescent="0.3"/>
    <row r="419" ht="17.100000000000001" customHeight="1" x14ac:dyDescent="0.3"/>
    <row r="420" ht="17.100000000000001" customHeight="1" x14ac:dyDescent="0.3"/>
    <row r="421" ht="17.100000000000001" customHeight="1" x14ac:dyDescent="0.3"/>
    <row r="422" ht="17.100000000000001" customHeight="1" x14ac:dyDescent="0.3"/>
    <row r="423" ht="17.100000000000001" customHeight="1" x14ac:dyDescent="0.3"/>
    <row r="424" ht="17.100000000000001" customHeight="1" x14ac:dyDescent="0.3"/>
    <row r="425" ht="17.100000000000001" customHeight="1" x14ac:dyDescent="0.3"/>
    <row r="426" ht="17.100000000000001" customHeight="1" x14ac:dyDescent="0.3"/>
    <row r="430" ht="17.100000000000001" customHeight="1" x14ac:dyDescent="0.3"/>
    <row r="431" ht="17.100000000000001" customHeight="1" x14ac:dyDescent="0.3"/>
  </sheetData>
  <sheetProtection algorithmName="SHA-512" hashValue="SJcD9ompe1QJYjR8BIvLdnMrIouAtFRp9u88RMz9gbEelAb21A5BQWgLXjk3p8aYAJWPf3djLE/QC7ZFQ+vtfQ==" saltValue="lrKDxii9P0VFmJT56twE6w==" spinCount="100000" sheet="1" objects="1" scenarios="1" formatCells="0" formatColumns="0" formatRows="0"/>
  <mergeCells count="89">
    <mergeCell ref="E201:E203"/>
    <mergeCell ref="E315:E328"/>
    <mergeCell ref="E307:E311"/>
    <mergeCell ref="E294:E303"/>
    <mergeCell ref="E225:E227"/>
    <mergeCell ref="E262:E270"/>
    <mergeCell ref="E241:E243"/>
    <mergeCell ref="E274:E276"/>
    <mergeCell ref="E112:E123"/>
    <mergeCell ref="E142:E153"/>
    <mergeCell ref="E179:E189"/>
    <mergeCell ref="H90:I90"/>
    <mergeCell ref="G174:K174"/>
    <mergeCell ref="G179:K179"/>
    <mergeCell ref="J181:K181"/>
    <mergeCell ref="J182:K182"/>
    <mergeCell ref="J183:K183"/>
    <mergeCell ref="J184:K184"/>
    <mergeCell ref="J185:K185"/>
    <mergeCell ref="J186:K186"/>
    <mergeCell ref="J92:K92"/>
    <mergeCell ref="H93:I93"/>
    <mergeCell ref="J93:K93"/>
    <mergeCell ref="J148:K148"/>
    <mergeCell ref="J324:K324"/>
    <mergeCell ref="G301:K301"/>
    <mergeCell ref="H302:K302"/>
    <mergeCell ref="H303:K303"/>
    <mergeCell ref="G274:K274"/>
    <mergeCell ref="J275:K275"/>
    <mergeCell ref="J276:K276"/>
    <mergeCell ref="H275:I275"/>
    <mergeCell ref="H276:I276"/>
    <mergeCell ref="E42:E55"/>
    <mergeCell ref="G42:K42"/>
    <mergeCell ref="E61:K61"/>
    <mergeCell ref="G88:K88"/>
    <mergeCell ref="H89:I89"/>
    <mergeCell ref="J89:K89"/>
    <mergeCell ref="G49:K49"/>
    <mergeCell ref="J53:K53"/>
    <mergeCell ref="J54:K54"/>
    <mergeCell ref="H53:I53"/>
    <mergeCell ref="J55:K55"/>
    <mergeCell ref="H54:I54"/>
    <mergeCell ref="H55:I55"/>
    <mergeCell ref="E88:E96"/>
    <mergeCell ref="J90:K90"/>
    <mergeCell ref="H92:I92"/>
    <mergeCell ref="J149:K149"/>
    <mergeCell ref="J150:K150"/>
    <mergeCell ref="G112:K112"/>
    <mergeCell ref="G117:K117"/>
    <mergeCell ref="G142:K142"/>
    <mergeCell ref="G144:K144"/>
    <mergeCell ref="J145:K145"/>
    <mergeCell ref="J146:K146"/>
    <mergeCell ref="J147:K147"/>
    <mergeCell ref="G201:K201"/>
    <mergeCell ref="G202:H202"/>
    <mergeCell ref="J202:K202"/>
    <mergeCell ref="G203:H203"/>
    <mergeCell ref="J203:K203"/>
    <mergeCell ref="G225:K225"/>
    <mergeCell ref="G226:I226"/>
    <mergeCell ref="J226:K226"/>
    <mergeCell ref="G227:I227"/>
    <mergeCell ref="J227:K227"/>
    <mergeCell ref="G262:K262"/>
    <mergeCell ref="G267:K267"/>
    <mergeCell ref="J268:K268"/>
    <mergeCell ref="J269:K269"/>
    <mergeCell ref="G360:M360"/>
    <mergeCell ref="G294:K294"/>
    <mergeCell ref="G307:K307"/>
    <mergeCell ref="I327:K327"/>
    <mergeCell ref="I328:K328"/>
    <mergeCell ref="G318:K318"/>
    <mergeCell ref="I319:K319"/>
    <mergeCell ref="I320:K320"/>
    <mergeCell ref="G322:K322"/>
    <mergeCell ref="G326:K326"/>
    <mergeCell ref="G315:K315"/>
    <mergeCell ref="J323:K323"/>
    <mergeCell ref="G241:K241"/>
    <mergeCell ref="G242:I242"/>
    <mergeCell ref="J242:K242"/>
    <mergeCell ref="G243:I243"/>
    <mergeCell ref="J243:K243"/>
  </mergeCells>
  <conditionalFormatting sqref="L362:L374">
    <cfRule type="colorScale" priority="2">
      <colorScale>
        <cfvo type="min"/>
        <cfvo type="percentile" val="50"/>
        <cfvo type="max"/>
        <color rgb="FF63BE7B"/>
        <color rgb="FFFFEB84"/>
        <color rgb="FFF8696B"/>
      </colorScale>
    </cfRule>
  </conditionalFormatting>
  <conditionalFormatting sqref="M362:M373">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horizontalDpi="300" verticalDpi="300" r:id="rId1"/>
  <headerFooter>
    <oddFooter>&amp;L_x000D_&amp;1#&amp;"Calibri"&amp;10&amp;K000000 Classified as Microsoft Confidential</oddFoot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1B006947-F522-4AD0-B84D-3518ED8204E4}">
          <x14:formula1>
            <xm:f>FabricMapping!$F$39:$F$43</xm:f>
          </x14:formula1>
          <xm:sqref>G9 G114 G176 G264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27996-16D0-4CE5-B258-7051A3EF47F4}">
  <sheetPr codeName="Sheet10">
    <tabColor theme="7" tint="-0.249977111117893"/>
  </sheetPr>
  <dimension ref="A1:AT172"/>
  <sheetViews>
    <sheetView showGridLines="0" topLeftCell="F44" zoomScale="80" zoomScaleNormal="80" workbookViewId="0">
      <selection activeCell="AN73" sqref="AN73"/>
    </sheetView>
  </sheetViews>
  <sheetFormatPr defaultColWidth="9" defaultRowHeight="14.4" x14ac:dyDescent="0.3"/>
  <cols>
    <col min="1" max="1" width="11.88671875" style="293" customWidth="1"/>
    <col min="2" max="2" width="15.44140625" style="293" customWidth="1"/>
    <col min="3" max="4" width="17.44140625" style="293" customWidth="1"/>
    <col min="5" max="5" width="21.88671875" style="293" customWidth="1"/>
    <col min="6" max="6" width="37.6640625" style="293" customWidth="1"/>
    <col min="7" max="7" width="19.44140625" style="293" customWidth="1"/>
    <col min="8" max="8" width="26.33203125" style="293" customWidth="1"/>
    <col min="9" max="9" width="19.44140625" style="293" customWidth="1"/>
    <col min="10" max="10" width="29" style="293" customWidth="1"/>
    <col min="11" max="11" width="20.6640625" style="293" customWidth="1"/>
    <col min="12" max="12" width="25" style="293" customWidth="1"/>
    <col min="13" max="13" width="19.88671875" style="293" customWidth="1"/>
    <col min="14" max="14" width="14.44140625" style="293" customWidth="1"/>
    <col min="15" max="16" width="4.88671875" style="293" customWidth="1"/>
    <col min="17" max="17" width="14.44140625" style="293" customWidth="1"/>
    <col min="18" max="18" width="4.88671875" style="293" customWidth="1"/>
    <col min="19" max="19" width="2.109375" style="293" customWidth="1"/>
    <col min="20" max="20" width="10.44140625" style="293" customWidth="1"/>
    <col min="21" max="21" width="16.44140625" style="293" customWidth="1"/>
    <col min="22" max="24" width="2.44140625" style="293" customWidth="1"/>
    <col min="25" max="25" width="2.44140625" style="31" customWidth="1"/>
    <col min="26" max="39" width="2.44140625" style="293" customWidth="1"/>
    <col min="40" max="40" width="19.5546875" style="293" customWidth="1"/>
    <col min="41" max="41" width="45.88671875" style="293" bestFit="1" customWidth="1"/>
    <col min="42" max="42" width="50.109375" style="293" bestFit="1" customWidth="1"/>
    <col min="43" max="43" width="17.5546875" style="293" bestFit="1" customWidth="1"/>
    <col min="44" max="44" width="21.5546875" style="293" bestFit="1" customWidth="1"/>
    <col min="45" max="45" width="15.44140625" style="293" bestFit="1" customWidth="1"/>
    <col min="46" max="46" width="21" style="293" customWidth="1"/>
    <col min="47" max="47" width="22.5546875" style="293" customWidth="1"/>
    <col min="48" max="16384" width="9" style="293"/>
  </cols>
  <sheetData>
    <row r="1" spans="1:46" ht="15" thickBot="1" x14ac:dyDescent="0.35">
      <c r="A1" s="439"/>
      <c r="B1" s="439"/>
      <c r="C1" s="439"/>
      <c r="D1" s="439"/>
      <c r="E1" s="439"/>
      <c r="F1" s="439"/>
      <c r="G1" s="439"/>
      <c r="H1" s="439"/>
      <c r="I1" s="439"/>
      <c r="J1" s="439"/>
      <c r="K1" s="439"/>
      <c r="L1" s="439"/>
      <c r="M1" s="439"/>
      <c r="N1" s="439"/>
      <c r="O1" s="439"/>
      <c r="P1" s="439"/>
      <c r="Q1" s="439"/>
      <c r="R1" s="439"/>
      <c r="S1" s="439"/>
      <c r="T1" s="439"/>
      <c r="U1" s="439"/>
      <c r="V1" s="439"/>
      <c r="W1" s="439"/>
      <c r="X1" s="439"/>
      <c r="Z1" s="439"/>
      <c r="AA1" s="439"/>
      <c r="AB1" s="439"/>
      <c r="AC1" s="439"/>
      <c r="AD1" s="439"/>
      <c r="AE1" s="439"/>
      <c r="AF1" s="439"/>
      <c r="AG1" s="439"/>
      <c r="AH1" s="439"/>
      <c r="AI1" s="439"/>
      <c r="AJ1" s="439"/>
      <c r="AK1" s="439"/>
      <c r="AL1" s="439"/>
      <c r="AM1" s="439"/>
      <c r="AN1" s="439"/>
      <c r="AO1" s="439"/>
      <c r="AP1" s="439"/>
      <c r="AQ1" s="439"/>
      <c r="AR1" s="439"/>
      <c r="AS1" s="439"/>
      <c r="AT1" s="439"/>
    </row>
    <row r="2" spans="1:46" ht="15" thickBot="1" x14ac:dyDescent="0.35">
      <c r="A2" s="439"/>
      <c r="B2" s="439"/>
      <c r="C2" s="439"/>
      <c r="D2" s="439"/>
      <c r="E2" s="439"/>
      <c r="F2" s="612" t="s">
        <v>356</v>
      </c>
      <c r="G2" s="613"/>
      <c r="H2" s="613"/>
      <c r="I2" s="614"/>
      <c r="J2" s="439"/>
      <c r="K2" s="439"/>
      <c r="L2" s="439"/>
      <c r="M2" s="439"/>
      <c r="N2" s="439"/>
      <c r="O2" s="439"/>
      <c r="P2" s="439"/>
      <c r="Q2" s="439"/>
      <c r="R2" s="439"/>
      <c r="S2" s="439"/>
      <c r="T2" s="439"/>
      <c r="U2" s="439"/>
      <c r="V2" s="439"/>
      <c r="W2" s="439"/>
      <c r="X2" s="439"/>
      <c r="Z2" s="439"/>
      <c r="AA2" s="439"/>
      <c r="AB2" s="439"/>
      <c r="AC2" s="439"/>
      <c r="AD2" s="439"/>
      <c r="AE2" s="439"/>
      <c r="AF2" s="439"/>
      <c r="AG2" s="439"/>
      <c r="AH2" s="439"/>
      <c r="AI2" s="439"/>
      <c r="AJ2" s="439"/>
      <c r="AK2" s="439"/>
      <c r="AL2" s="439"/>
      <c r="AM2" s="439"/>
      <c r="AN2" s="439"/>
      <c r="AO2" s="439"/>
      <c r="AP2" s="439"/>
      <c r="AQ2" s="439"/>
      <c r="AR2" s="439"/>
      <c r="AS2" s="439"/>
      <c r="AT2" s="439"/>
    </row>
    <row r="3" spans="1:46" ht="15" thickBot="1" x14ac:dyDescent="0.35">
      <c r="A3" s="439"/>
      <c r="B3" s="439"/>
      <c r="C3" s="439"/>
      <c r="D3" s="439"/>
      <c r="E3" s="439"/>
      <c r="F3" s="294" t="s">
        <v>41</v>
      </c>
      <c r="G3" s="295" t="s">
        <v>357</v>
      </c>
      <c r="H3" s="295" t="s">
        <v>358</v>
      </c>
      <c r="I3" s="296" t="s">
        <v>359</v>
      </c>
      <c r="J3" s="439"/>
      <c r="K3" s="439"/>
      <c r="L3" s="439"/>
      <c r="M3" s="439"/>
      <c r="N3" s="439"/>
      <c r="O3" s="439"/>
      <c r="P3" s="439"/>
      <c r="Q3" s="439"/>
      <c r="R3" s="439"/>
      <c r="S3" s="439"/>
      <c r="T3" s="439"/>
      <c r="U3" s="439"/>
      <c r="V3" s="439"/>
      <c r="W3" s="439"/>
      <c r="X3" s="439"/>
      <c r="Z3" s="439"/>
      <c r="AA3" s="439"/>
      <c r="AB3" s="439"/>
      <c r="AC3" s="439"/>
      <c r="AD3" s="439"/>
      <c r="AE3" s="439"/>
      <c r="AF3" s="439"/>
      <c r="AG3" s="439"/>
      <c r="AH3" s="439"/>
      <c r="AI3" s="439"/>
      <c r="AJ3" s="439"/>
      <c r="AK3" s="439"/>
      <c r="AL3" s="439"/>
      <c r="AM3" s="439"/>
      <c r="AN3" s="439"/>
      <c r="AO3" s="439"/>
      <c r="AP3" s="439"/>
      <c r="AQ3" s="439"/>
      <c r="AR3" s="439"/>
      <c r="AS3" s="439"/>
      <c r="AT3" s="439"/>
    </row>
    <row r="4" spans="1:46" x14ac:dyDescent="0.3">
      <c r="A4" s="439"/>
      <c r="B4" s="439"/>
      <c r="C4" s="439"/>
      <c r="D4" s="439"/>
      <c r="E4" s="439"/>
      <c r="F4" s="440" t="s">
        <v>360</v>
      </c>
      <c r="G4" s="441">
        <f>60*(60*24)</f>
        <v>86400</v>
      </c>
      <c r="H4" s="441">
        <f>G4*7</f>
        <v>604800</v>
      </c>
      <c r="I4" s="442">
        <f>(H4*52)/12</f>
        <v>2620800</v>
      </c>
      <c r="J4" s="439"/>
      <c r="K4" s="439"/>
      <c r="L4" s="439"/>
      <c r="M4" s="439"/>
      <c r="N4" s="439"/>
      <c r="O4" s="439"/>
      <c r="P4" s="439"/>
      <c r="Q4" s="439"/>
      <c r="R4" s="439"/>
      <c r="S4" s="439"/>
      <c r="T4" s="439"/>
      <c r="U4" s="439"/>
      <c r="V4" s="439"/>
      <c r="W4" s="439"/>
      <c r="X4" s="439"/>
      <c r="Z4" s="439"/>
      <c r="AA4" s="439"/>
      <c r="AB4" s="439"/>
      <c r="AC4" s="439"/>
      <c r="AD4" s="439"/>
      <c r="AE4" s="439"/>
      <c r="AF4" s="439"/>
      <c r="AG4" s="439"/>
      <c r="AH4" s="439"/>
      <c r="AI4" s="439"/>
      <c r="AJ4" s="439"/>
      <c r="AK4" s="439"/>
      <c r="AL4" s="439"/>
      <c r="AM4" s="439"/>
      <c r="AN4" s="439"/>
      <c r="AO4" s="439"/>
      <c r="AP4" s="439"/>
      <c r="AQ4" s="439"/>
      <c r="AR4" s="439"/>
      <c r="AS4" s="439"/>
      <c r="AT4" s="439"/>
    </row>
    <row r="5" spans="1:46" ht="15" thickBot="1" x14ac:dyDescent="0.35">
      <c r="A5" s="439"/>
      <c r="B5" s="439"/>
      <c r="C5" s="439"/>
      <c r="D5" s="439"/>
      <c r="E5" s="439"/>
      <c r="F5" s="443" t="s">
        <v>361</v>
      </c>
      <c r="G5" s="444">
        <f>G4/60</f>
        <v>1440</v>
      </c>
      <c r="H5" s="444">
        <f>G5*7</f>
        <v>10080</v>
      </c>
      <c r="I5" s="445">
        <f>(H5*52)/12</f>
        <v>43680</v>
      </c>
      <c r="J5" s="439"/>
      <c r="K5" s="439"/>
      <c r="L5" s="439"/>
      <c r="M5" s="439"/>
      <c r="N5" s="439"/>
      <c r="O5" s="439"/>
      <c r="P5" s="439"/>
      <c r="Q5" s="439"/>
      <c r="R5" s="439"/>
      <c r="S5" s="439"/>
      <c r="T5" s="439"/>
      <c r="U5" s="439"/>
      <c r="V5" s="439"/>
      <c r="W5" s="439"/>
      <c r="X5" s="439"/>
      <c r="Z5" s="439"/>
      <c r="AA5" s="439"/>
      <c r="AB5" s="439"/>
      <c r="AC5" s="439"/>
      <c r="AD5" s="439"/>
      <c r="AE5" s="439"/>
      <c r="AF5" s="439"/>
      <c r="AG5" s="439"/>
      <c r="AH5" s="439"/>
      <c r="AI5" s="439"/>
      <c r="AJ5" s="439"/>
      <c r="AK5" s="439"/>
      <c r="AL5" s="439"/>
      <c r="AM5" s="439"/>
      <c r="AN5" s="439"/>
      <c r="AO5" s="439"/>
      <c r="AP5" s="439"/>
      <c r="AQ5" s="439"/>
      <c r="AR5" s="439"/>
      <c r="AS5" s="439"/>
      <c r="AT5" s="439"/>
    </row>
    <row r="7" spans="1:46" ht="15" thickBot="1" x14ac:dyDescent="0.35">
      <c r="A7" s="439"/>
      <c r="B7" s="439" t="s">
        <v>362</v>
      </c>
      <c r="C7" s="439"/>
      <c r="D7" s="439"/>
      <c r="E7" s="439"/>
      <c r="F7" s="439"/>
      <c r="G7" s="439"/>
      <c r="H7" s="439"/>
      <c r="I7" s="439"/>
      <c r="J7" s="439"/>
      <c r="K7" s="439"/>
      <c r="L7" s="439"/>
      <c r="M7" s="439"/>
      <c r="N7" s="439"/>
      <c r="O7" s="439"/>
      <c r="P7" s="439"/>
      <c r="Q7" s="439"/>
      <c r="R7" s="439"/>
      <c r="S7" s="439"/>
      <c r="T7" s="439"/>
      <c r="U7" s="439"/>
      <c r="V7" s="439"/>
      <c r="W7" s="439"/>
      <c r="X7" s="439"/>
      <c r="Z7" s="439"/>
      <c r="AA7" s="439"/>
      <c r="AB7" s="439"/>
      <c r="AC7" s="439"/>
      <c r="AD7" s="439"/>
      <c r="AE7" s="439"/>
      <c r="AF7" s="439"/>
      <c r="AG7" s="439"/>
      <c r="AH7" s="439"/>
      <c r="AI7" s="439"/>
      <c r="AJ7" s="439"/>
      <c r="AK7" s="439"/>
      <c r="AL7" s="439"/>
      <c r="AM7" s="439"/>
      <c r="AN7" s="439"/>
      <c r="AO7" s="439"/>
      <c r="AP7" s="439"/>
      <c r="AQ7" s="439"/>
      <c r="AR7" s="439"/>
      <c r="AS7" s="439"/>
      <c r="AT7" s="439"/>
    </row>
    <row r="8" spans="1:46" ht="15" thickBot="1" x14ac:dyDescent="0.35">
      <c r="A8" s="439"/>
      <c r="B8" s="439"/>
      <c r="C8" s="439"/>
      <c r="D8" s="439"/>
      <c r="E8" s="439"/>
      <c r="F8" s="439"/>
      <c r="G8" s="439"/>
      <c r="H8" s="439"/>
      <c r="I8" s="439"/>
      <c r="J8" s="439"/>
      <c r="K8" s="439"/>
      <c r="L8" s="439"/>
      <c r="M8" s="439"/>
      <c r="N8" s="439"/>
      <c r="O8" s="439"/>
      <c r="P8" s="439"/>
      <c r="Q8" s="439"/>
      <c r="R8" s="439"/>
      <c r="S8" s="439"/>
      <c r="T8" s="439"/>
      <c r="U8" s="439"/>
      <c r="V8" s="439"/>
      <c r="W8" s="439"/>
      <c r="X8" s="439"/>
      <c r="Z8" s="439"/>
      <c r="AA8" s="439"/>
      <c r="AB8" s="439"/>
      <c r="AC8" s="439"/>
      <c r="AD8" s="439"/>
      <c r="AE8" s="439"/>
      <c r="AF8" s="439"/>
      <c r="AG8" s="439"/>
      <c r="AH8" s="439"/>
      <c r="AI8" s="439"/>
      <c r="AJ8" s="439"/>
      <c r="AK8" s="439"/>
      <c r="AL8" s="439"/>
      <c r="AM8" s="439"/>
      <c r="AN8" s="439"/>
      <c r="AO8" s="439"/>
      <c r="AP8" s="439"/>
      <c r="AQ8" s="620" t="s">
        <v>363</v>
      </c>
      <c r="AR8" s="621"/>
      <c r="AS8" s="622"/>
      <c r="AT8" s="439"/>
    </row>
    <row r="9" spans="1:46" ht="15" thickBot="1" x14ac:dyDescent="0.35">
      <c r="A9" s="439"/>
      <c r="B9" s="439"/>
      <c r="C9" s="439"/>
      <c r="D9" s="439"/>
      <c r="E9" s="439"/>
      <c r="F9" s="615" t="s">
        <v>364</v>
      </c>
      <c r="G9" s="616"/>
      <c r="H9" s="616"/>
      <c r="I9" s="616"/>
      <c r="J9" s="616"/>
      <c r="K9" s="616"/>
      <c r="L9" s="617"/>
      <c r="M9" s="439"/>
      <c r="N9" s="31"/>
      <c r="O9" s="31"/>
      <c r="P9" s="31"/>
      <c r="Q9" s="31"/>
      <c r="R9" s="31"/>
      <c r="S9" s="31"/>
      <c r="T9" s="31"/>
      <c r="U9" s="31"/>
      <c r="V9" s="31"/>
      <c r="W9" s="31"/>
      <c r="X9" s="31"/>
      <c r="Z9" s="31"/>
      <c r="AA9" s="31"/>
      <c r="AB9" s="31"/>
      <c r="AC9" s="31"/>
      <c r="AD9" s="31"/>
      <c r="AE9" s="31"/>
      <c r="AF9" s="31"/>
      <c r="AG9" s="31"/>
      <c r="AH9" s="31"/>
      <c r="AI9" s="31"/>
      <c r="AJ9" s="439"/>
      <c r="AK9" s="439"/>
      <c r="AL9" s="439"/>
      <c r="AM9" s="439"/>
      <c r="AN9" s="629" t="s">
        <v>365</v>
      </c>
      <c r="AO9" s="629"/>
      <c r="AP9" s="439"/>
      <c r="AQ9" s="298" t="s">
        <v>366</v>
      </c>
      <c r="AR9" s="299" t="s">
        <v>367</v>
      </c>
      <c r="AS9" s="300" t="s">
        <v>368</v>
      </c>
      <c r="AT9" s="439"/>
    </row>
    <row r="10" spans="1:46" ht="29.4" thickBot="1" x14ac:dyDescent="0.35">
      <c r="A10" s="439" t="s">
        <v>369</v>
      </c>
      <c r="B10" s="301" t="s">
        <v>370</v>
      </c>
      <c r="C10" s="302" t="s">
        <v>371</v>
      </c>
      <c r="D10" s="302" t="s">
        <v>372</v>
      </c>
      <c r="E10" s="302" t="s">
        <v>373</v>
      </c>
      <c r="F10" s="303" t="s">
        <v>374</v>
      </c>
      <c r="G10" s="304" t="s">
        <v>375</v>
      </c>
      <c r="H10" s="305" t="s">
        <v>376</v>
      </c>
      <c r="I10" s="305" t="s">
        <v>377</v>
      </c>
      <c r="J10" s="305" t="s">
        <v>378</v>
      </c>
      <c r="K10" s="305" t="s">
        <v>379</v>
      </c>
      <c r="L10" s="306" t="s">
        <v>380</v>
      </c>
      <c r="M10" s="439"/>
      <c r="N10" s="31"/>
      <c r="O10" s="31"/>
      <c r="P10" s="31"/>
      <c r="Q10" s="31"/>
      <c r="R10" s="31"/>
      <c r="S10" s="31"/>
      <c r="T10" s="31"/>
      <c r="U10" s="31"/>
      <c r="V10" s="31"/>
      <c r="W10" s="31"/>
      <c r="X10" s="31"/>
      <c r="Z10" s="31"/>
      <c r="AA10" s="31"/>
      <c r="AB10" s="31"/>
      <c r="AC10" s="31"/>
      <c r="AD10" s="31"/>
      <c r="AE10" s="31"/>
      <c r="AF10" s="31"/>
      <c r="AG10" s="31"/>
      <c r="AH10" s="31"/>
      <c r="AI10" s="31"/>
      <c r="AJ10" s="439"/>
      <c r="AK10" s="439"/>
      <c r="AL10" s="439"/>
      <c r="AM10" s="439"/>
      <c r="AN10" s="302" t="s">
        <v>381</v>
      </c>
      <c r="AO10" s="302" t="s">
        <v>382</v>
      </c>
      <c r="AP10" s="439"/>
      <c r="AQ10" s="307">
        <v>1</v>
      </c>
      <c r="AR10" s="308">
        <v>0.1</v>
      </c>
      <c r="AS10" s="308">
        <v>2E-3</v>
      </c>
      <c r="AT10" s="439"/>
    </row>
    <row r="11" spans="1:46" ht="15" thickBot="1" x14ac:dyDescent="0.35">
      <c r="A11" s="446">
        <f t="shared" ref="A11:A21" si="0">I11*0.18/60</f>
        <v>60.48</v>
      </c>
      <c r="B11" s="447">
        <f>IFERROR((#REF!-(I11*0.18/60)),0)</f>
        <v>0</v>
      </c>
      <c r="C11" s="348">
        <v>0</v>
      </c>
      <c r="D11" s="348">
        <v>0</v>
      </c>
      <c r="E11" s="348">
        <v>0</v>
      </c>
      <c r="F11" s="448" t="s">
        <v>383</v>
      </c>
      <c r="G11" s="449">
        <v>2</v>
      </c>
      <c r="H11" s="449">
        <f>$G11*$G$5</f>
        <v>2880</v>
      </c>
      <c r="I11" s="449">
        <f>$G11*$H$5</f>
        <v>20160</v>
      </c>
      <c r="J11" s="449">
        <f>$G11*$I$5</f>
        <v>87360</v>
      </c>
      <c r="K11" s="450">
        <f>ROUNDUP(Cost_Setup!$F$7*730*G11,0)</f>
        <v>263</v>
      </c>
      <c r="L11" s="451">
        <f>ROUNDUP(K11*0.6,0)</f>
        <v>158</v>
      </c>
      <c r="M11" s="452" t="str">
        <f>F11</f>
        <v>F2</v>
      </c>
      <c r="N11" s="31"/>
      <c r="O11" s="31"/>
      <c r="P11" s="31"/>
      <c r="Q11" s="31"/>
      <c r="R11" s="31"/>
      <c r="S11" s="31"/>
      <c r="T11" s="31"/>
      <c r="U11" s="31"/>
      <c r="V11" s="31"/>
      <c r="W11" s="31"/>
      <c r="X11" s="31"/>
      <c r="Z11" s="31"/>
      <c r="AA11" s="31"/>
      <c r="AB11" s="31"/>
      <c r="AC11" s="31"/>
      <c r="AD11" s="31"/>
      <c r="AE11" s="31"/>
      <c r="AF11" s="31"/>
      <c r="AG11" s="31"/>
      <c r="AH11" s="31"/>
      <c r="AI11" s="31"/>
      <c r="AJ11" s="439"/>
      <c r="AK11" s="439"/>
      <c r="AL11" s="439"/>
      <c r="AM11" s="439"/>
      <c r="AN11" s="348" t="s">
        <v>338</v>
      </c>
      <c r="AO11" s="348">
        <v>32</v>
      </c>
      <c r="AP11" s="439"/>
      <c r="AQ11" s="623" t="s">
        <v>384</v>
      </c>
      <c r="AR11" s="624"/>
      <c r="AS11" s="625"/>
      <c r="AT11" s="439"/>
    </row>
    <row r="12" spans="1:46" ht="15" thickBot="1" x14ac:dyDescent="0.35">
      <c r="A12" s="446">
        <f t="shared" si="0"/>
        <v>120.96</v>
      </c>
      <c r="B12" s="447">
        <f>IFERROR((#REF!-(I12*0.18/60)),0)</f>
        <v>0</v>
      </c>
      <c r="C12" s="453">
        <f>H11</f>
        <v>2880</v>
      </c>
      <c r="D12" s="453">
        <f>I11</f>
        <v>20160</v>
      </c>
      <c r="E12" s="453">
        <f>J11</f>
        <v>87360</v>
      </c>
      <c r="F12" s="454" t="s">
        <v>385</v>
      </c>
      <c r="G12" s="455">
        <v>4</v>
      </c>
      <c r="H12" s="455">
        <f t="shared" ref="H12:H21" si="1">$G12*$G$5</f>
        <v>5760</v>
      </c>
      <c r="I12" s="455">
        <f t="shared" ref="I12:I21" si="2">$G12*$H$5</f>
        <v>40320</v>
      </c>
      <c r="J12" s="455">
        <f t="shared" ref="J12:J21" si="3">$G12*$I$5</f>
        <v>174720</v>
      </c>
      <c r="K12" s="450">
        <f>ROUNDUP(Cost_Setup!$F$7*730*G12,0)</f>
        <v>526</v>
      </c>
      <c r="L12" s="456">
        <f t="shared" ref="L12:L21" si="4">ROUNDUP(K12*0.6,0)</f>
        <v>316</v>
      </c>
      <c r="M12" s="452" t="str">
        <f t="shared" ref="M12:M21" si="5">F12</f>
        <v>F4</v>
      </c>
      <c r="N12" s="31"/>
      <c r="O12" s="31"/>
      <c r="P12" s="31"/>
      <c r="Q12" s="31"/>
      <c r="R12" s="31"/>
      <c r="S12" s="31"/>
      <c r="T12" s="31"/>
      <c r="U12" s="31"/>
      <c r="V12" s="31"/>
      <c r="W12" s="31"/>
      <c r="X12" s="31"/>
      <c r="Z12" s="31"/>
      <c r="AA12" s="31"/>
      <c r="AB12" s="31"/>
      <c r="AC12" s="31"/>
      <c r="AD12" s="31"/>
      <c r="AE12" s="31"/>
      <c r="AF12" s="31"/>
      <c r="AG12" s="31"/>
      <c r="AH12" s="31"/>
      <c r="AI12" s="31"/>
      <c r="AJ12" s="439"/>
      <c r="AK12" s="439"/>
      <c r="AL12" s="439"/>
      <c r="AM12" s="439"/>
      <c r="AN12" s="348" t="s">
        <v>339</v>
      </c>
      <c r="AO12" s="348">
        <v>32</v>
      </c>
      <c r="AP12" s="439"/>
      <c r="AQ12" s="626">
        <v>30</v>
      </c>
      <c r="AR12" s="627"/>
      <c r="AS12" s="628"/>
      <c r="AT12" s="439"/>
    </row>
    <row r="13" spans="1:46" ht="15" thickBot="1" x14ac:dyDescent="0.35">
      <c r="A13" s="446">
        <f t="shared" si="0"/>
        <v>241.92</v>
      </c>
      <c r="B13" s="447">
        <f>IFERROR((#REF!-(I13*0.18/60)),0)</f>
        <v>0</v>
      </c>
      <c r="C13" s="453">
        <f t="shared" ref="C13:C21" si="6">H12</f>
        <v>5760</v>
      </c>
      <c r="D13" s="453">
        <f t="shared" ref="D13:D21" si="7">I12</f>
        <v>40320</v>
      </c>
      <c r="E13" s="453">
        <f t="shared" ref="E13:E21" si="8">J12</f>
        <v>174720</v>
      </c>
      <c r="F13" s="454" t="s">
        <v>386</v>
      </c>
      <c r="G13" s="455">
        <v>8</v>
      </c>
      <c r="H13" s="455">
        <f t="shared" si="1"/>
        <v>11520</v>
      </c>
      <c r="I13" s="455">
        <f t="shared" si="2"/>
        <v>80640</v>
      </c>
      <c r="J13" s="455">
        <f t="shared" si="3"/>
        <v>349440</v>
      </c>
      <c r="K13" s="450">
        <f>ROUNDUP(Cost_Setup!$F$7*730*G13,0)</f>
        <v>1052</v>
      </c>
      <c r="L13" s="456">
        <f t="shared" si="4"/>
        <v>632</v>
      </c>
      <c r="M13" s="452" t="str">
        <f t="shared" si="5"/>
        <v>F8</v>
      </c>
      <c r="N13" s="31"/>
      <c r="O13" s="31"/>
      <c r="P13" s="31"/>
      <c r="Q13" s="31"/>
      <c r="R13" s="31"/>
      <c r="S13" s="31"/>
      <c r="T13" s="31"/>
      <c r="U13" s="31"/>
      <c r="V13" s="31"/>
      <c r="W13" s="31"/>
      <c r="X13" s="31"/>
      <c r="Z13" s="31"/>
      <c r="AA13" s="31"/>
      <c r="AB13" s="31"/>
      <c r="AC13" s="31"/>
      <c r="AD13" s="31"/>
      <c r="AE13" s="31"/>
      <c r="AF13" s="31"/>
      <c r="AG13" s="31"/>
      <c r="AH13" s="31"/>
      <c r="AI13" s="31"/>
      <c r="AJ13" s="439"/>
      <c r="AK13" s="439"/>
      <c r="AL13" s="439"/>
      <c r="AM13" s="439"/>
      <c r="AN13" s="439"/>
      <c r="AO13" s="439"/>
      <c r="AP13" s="439"/>
      <c r="AQ13" s="309" t="s">
        <v>387</v>
      </c>
      <c r="AR13" s="310"/>
      <c r="AS13" s="311"/>
      <c r="AT13" s="439"/>
    </row>
    <row r="14" spans="1:46" x14ac:dyDescent="0.3">
      <c r="A14" s="446">
        <f t="shared" si="0"/>
        <v>483.84</v>
      </c>
      <c r="B14" s="447">
        <f>IFERROR((#REF!-(I14*0.18/60)),0)</f>
        <v>0</v>
      </c>
      <c r="C14" s="453">
        <f t="shared" si="6"/>
        <v>11520</v>
      </c>
      <c r="D14" s="453">
        <f t="shared" si="7"/>
        <v>80640</v>
      </c>
      <c r="E14" s="453">
        <f t="shared" si="8"/>
        <v>349440</v>
      </c>
      <c r="F14" s="454" t="s">
        <v>388</v>
      </c>
      <c r="G14" s="455">
        <v>16</v>
      </c>
      <c r="H14" s="455">
        <f t="shared" si="1"/>
        <v>23040</v>
      </c>
      <c r="I14" s="455">
        <f t="shared" si="2"/>
        <v>161280</v>
      </c>
      <c r="J14" s="455">
        <f t="shared" si="3"/>
        <v>698880</v>
      </c>
      <c r="K14" s="450">
        <f>ROUNDUP(Cost_Setup!$F$7*730*G14,0)</f>
        <v>2103</v>
      </c>
      <c r="L14" s="456">
        <f t="shared" si="4"/>
        <v>1262</v>
      </c>
      <c r="M14" s="452" t="str">
        <f t="shared" si="5"/>
        <v>F16</v>
      </c>
      <c r="N14" s="31"/>
      <c r="O14" s="31"/>
      <c r="P14" s="31"/>
      <c r="Q14" s="312">
        <f>J14*0.18/60</f>
        <v>2096.64</v>
      </c>
      <c r="R14" s="31"/>
      <c r="S14" s="31"/>
      <c r="T14" s="31"/>
      <c r="U14" s="31"/>
      <c r="V14" s="31"/>
      <c r="W14" s="31"/>
      <c r="X14" s="31"/>
      <c r="Z14" s="31"/>
      <c r="AA14" s="31"/>
      <c r="AB14" s="31"/>
      <c r="AC14" s="31"/>
      <c r="AD14" s="31"/>
      <c r="AE14" s="31"/>
      <c r="AF14" s="31"/>
      <c r="AG14" s="31"/>
      <c r="AH14" s="31"/>
      <c r="AI14" s="31"/>
      <c r="AJ14" s="439"/>
      <c r="AK14" s="439"/>
      <c r="AL14" s="439"/>
      <c r="AM14" s="439"/>
      <c r="AN14" s="439"/>
      <c r="AO14" s="439"/>
      <c r="AP14" s="439"/>
      <c r="AQ14" s="439"/>
      <c r="AR14" s="439"/>
      <c r="AS14" s="439"/>
      <c r="AT14" s="439"/>
    </row>
    <row r="15" spans="1:46" x14ac:dyDescent="0.3">
      <c r="A15" s="446">
        <f t="shared" si="0"/>
        <v>967.68</v>
      </c>
      <c r="B15" s="447">
        <f>IFERROR((#REF!-(I15*0.18/60)),0)</f>
        <v>0</v>
      </c>
      <c r="C15" s="453">
        <f t="shared" si="6"/>
        <v>23040</v>
      </c>
      <c r="D15" s="453">
        <f t="shared" si="7"/>
        <v>161280</v>
      </c>
      <c r="E15" s="453">
        <f t="shared" si="8"/>
        <v>698880</v>
      </c>
      <c r="F15" s="454" t="s">
        <v>389</v>
      </c>
      <c r="G15" s="455">
        <v>32</v>
      </c>
      <c r="H15" s="455">
        <f t="shared" si="1"/>
        <v>46080</v>
      </c>
      <c r="I15" s="455">
        <f t="shared" si="2"/>
        <v>322560</v>
      </c>
      <c r="J15" s="455">
        <f t="shared" si="3"/>
        <v>1397760</v>
      </c>
      <c r="K15" s="450">
        <f>ROUNDUP(Cost_Setup!$F$7*730*G15,0)</f>
        <v>4205</v>
      </c>
      <c r="L15" s="456">
        <f t="shared" si="4"/>
        <v>2523</v>
      </c>
      <c r="M15" s="452" t="str">
        <f t="shared" si="5"/>
        <v>F32</v>
      </c>
      <c r="N15" s="31"/>
      <c r="O15" s="31"/>
      <c r="P15" s="31"/>
      <c r="Q15" s="31"/>
      <c r="R15" s="31"/>
      <c r="S15" s="31"/>
      <c r="T15" s="31"/>
      <c r="U15" s="31"/>
      <c r="V15" s="31"/>
      <c r="W15" s="31"/>
      <c r="X15" s="31"/>
      <c r="Z15" s="31"/>
      <c r="AA15" s="31"/>
      <c r="AB15" s="31"/>
      <c r="AC15" s="31"/>
      <c r="AD15" s="31"/>
      <c r="AE15" s="31"/>
      <c r="AF15" s="31"/>
      <c r="AG15" s="31"/>
      <c r="AH15" s="31"/>
      <c r="AI15" s="31"/>
      <c r="AJ15" s="439"/>
      <c r="AK15" s="439"/>
      <c r="AL15" s="439"/>
      <c r="AM15" s="439"/>
      <c r="AN15" s="439"/>
      <c r="AO15" s="439"/>
      <c r="AP15" s="439"/>
      <c r="AQ15" s="439"/>
      <c r="AR15" s="439"/>
      <c r="AS15" s="439"/>
      <c r="AT15" s="439"/>
    </row>
    <row r="16" spans="1:46" x14ac:dyDescent="0.3">
      <c r="A16" s="446">
        <f t="shared" si="0"/>
        <v>1935.36</v>
      </c>
      <c r="B16" s="447">
        <f>IFERROR((#REF!-(I16*0.18/60)),0)</f>
        <v>0</v>
      </c>
      <c r="C16" s="453">
        <f t="shared" si="6"/>
        <v>46080</v>
      </c>
      <c r="D16" s="453">
        <f t="shared" si="7"/>
        <v>322560</v>
      </c>
      <c r="E16" s="453">
        <f t="shared" si="8"/>
        <v>1397760</v>
      </c>
      <c r="F16" s="454" t="s">
        <v>390</v>
      </c>
      <c r="G16" s="455">
        <v>64</v>
      </c>
      <c r="H16" s="455">
        <f t="shared" si="1"/>
        <v>92160</v>
      </c>
      <c r="I16" s="455">
        <f t="shared" si="2"/>
        <v>645120</v>
      </c>
      <c r="J16" s="455">
        <f t="shared" si="3"/>
        <v>2795520</v>
      </c>
      <c r="K16" s="450">
        <f>ROUNDUP(Cost_Setup!$F$7*730*G16,0)</f>
        <v>8410</v>
      </c>
      <c r="L16" s="456">
        <f t="shared" si="4"/>
        <v>5046</v>
      </c>
      <c r="M16" s="452" t="str">
        <f t="shared" si="5"/>
        <v>F64</v>
      </c>
      <c r="N16" s="31"/>
      <c r="O16" s="31"/>
      <c r="P16" s="31"/>
      <c r="Q16" s="31"/>
      <c r="R16" s="31"/>
      <c r="S16" s="31"/>
      <c r="T16" s="31"/>
      <c r="U16" s="31"/>
      <c r="V16" s="31"/>
      <c r="W16" s="31"/>
      <c r="X16" s="31"/>
      <c r="Z16" s="31"/>
      <c r="AA16" s="31"/>
      <c r="AB16" s="31"/>
      <c r="AC16" s="31"/>
      <c r="AD16" s="31"/>
      <c r="AE16" s="31"/>
      <c r="AF16" s="31"/>
      <c r="AG16" s="31"/>
      <c r="AH16" s="31"/>
      <c r="AI16" s="31"/>
      <c r="AJ16" s="439"/>
      <c r="AK16" s="439"/>
      <c r="AL16" s="439"/>
      <c r="AM16" s="439"/>
      <c r="AN16" s="439"/>
      <c r="AO16" s="439"/>
      <c r="AP16" s="439"/>
      <c r="AQ16" s="439"/>
      <c r="AR16" s="439"/>
      <c r="AS16" s="439"/>
      <c r="AT16" s="439"/>
    </row>
    <row r="17" spans="1:44" x14ac:dyDescent="0.3">
      <c r="A17" s="446">
        <f t="shared" si="0"/>
        <v>3870.72</v>
      </c>
      <c r="B17" s="447">
        <f>IFERROR((#REF!-(I17*0.18/60)),0)</f>
        <v>0</v>
      </c>
      <c r="C17" s="453">
        <f t="shared" si="6"/>
        <v>92160</v>
      </c>
      <c r="D17" s="453">
        <f t="shared" si="7"/>
        <v>645120</v>
      </c>
      <c r="E17" s="453">
        <f t="shared" si="8"/>
        <v>2795520</v>
      </c>
      <c r="F17" s="454" t="s">
        <v>391</v>
      </c>
      <c r="G17" s="455">
        <v>128</v>
      </c>
      <c r="H17" s="455">
        <f t="shared" si="1"/>
        <v>184320</v>
      </c>
      <c r="I17" s="455">
        <f t="shared" si="2"/>
        <v>1290240</v>
      </c>
      <c r="J17" s="455">
        <f t="shared" si="3"/>
        <v>5591040</v>
      </c>
      <c r="K17" s="450">
        <f>ROUNDUP(Cost_Setup!$F$7*730*G17,0)</f>
        <v>16820</v>
      </c>
      <c r="L17" s="456">
        <f t="shared" si="4"/>
        <v>10092</v>
      </c>
      <c r="M17" s="452" t="str">
        <f t="shared" si="5"/>
        <v>F128</v>
      </c>
      <c r="N17" s="31"/>
      <c r="O17" s="31"/>
      <c r="P17" s="31"/>
      <c r="Q17" s="31"/>
      <c r="R17" s="31"/>
      <c r="S17" s="31"/>
      <c r="T17" s="31"/>
      <c r="U17" s="31"/>
      <c r="V17" s="31"/>
      <c r="W17" s="31"/>
      <c r="X17" s="31"/>
      <c r="Z17" s="31"/>
      <c r="AA17" s="31"/>
      <c r="AB17" s="31"/>
      <c r="AC17" s="31"/>
      <c r="AD17" s="31"/>
      <c r="AE17" s="31"/>
      <c r="AF17" s="31"/>
      <c r="AG17" s="31"/>
      <c r="AH17" s="31"/>
      <c r="AI17" s="31"/>
      <c r="AJ17" s="439"/>
      <c r="AK17" s="439"/>
      <c r="AL17" s="439"/>
      <c r="AM17" s="439"/>
      <c r="AN17" s="439"/>
      <c r="AO17" s="439"/>
      <c r="AP17" s="439"/>
      <c r="AQ17" s="439"/>
      <c r="AR17" s="439"/>
    </row>
    <row r="18" spans="1:44" x14ac:dyDescent="0.3">
      <c r="A18" s="446">
        <f t="shared" si="0"/>
        <v>7741.44</v>
      </c>
      <c r="B18" s="447">
        <f>IFERROR((#REF!-(I18*0.18/60)),0)</f>
        <v>0</v>
      </c>
      <c r="C18" s="453">
        <f t="shared" si="6"/>
        <v>184320</v>
      </c>
      <c r="D18" s="453">
        <f t="shared" si="7"/>
        <v>1290240</v>
      </c>
      <c r="E18" s="453">
        <f t="shared" si="8"/>
        <v>5591040</v>
      </c>
      <c r="F18" s="454" t="s">
        <v>392</v>
      </c>
      <c r="G18" s="455">
        <v>256</v>
      </c>
      <c r="H18" s="455">
        <f t="shared" si="1"/>
        <v>368640</v>
      </c>
      <c r="I18" s="455">
        <f t="shared" si="2"/>
        <v>2580480</v>
      </c>
      <c r="J18" s="455">
        <f t="shared" si="3"/>
        <v>11182080</v>
      </c>
      <c r="K18" s="450">
        <f>ROUNDUP(Cost_Setup!$F$7*730*G18,0)</f>
        <v>33639</v>
      </c>
      <c r="L18" s="456">
        <f t="shared" si="4"/>
        <v>20184</v>
      </c>
      <c r="M18" s="452" t="str">
        <f t="shared" si="5"/>
        <v>F256</v>
      </c>
      <c r="N18" s="31"/>
      <c r="O18" s="31"/>
      <c r="P18" s="31"/>
      <c r="Q18" s="31"/>
      <c r="R18" s="31"/>
      <c r="S18" s="31"/>
      <c r="T18" s="31"/>
      <c r="U18" s="31"/>
      <c r="V18" s="31"/>
      <c r="W18" s="31"/>
      <c r="X18" s="31"/>
      <c r="Z18" s="31"/>
      <c r="AA18" s="31"/>
      <c r="AB18" s="31"/>
      <c r="AC18" s="31"/>
      <c r="AD18" s="31"/>
      <c r="AE18" s="31"/>
      <c r="AF18" s="31"/>
      <c r="AG18" s="31"/>
      <c r="AH18" s="31"/>
      <c r="AI18" s="31"/>
      <c r="AJ18" s="439"/>
      <c r="AK18" s="439"/>
      <c r="AL18" s="439"/>
      <c r="AM18" s="439"/>
      <c r="AN18" s="439"/>
      <c r="AO18" s="439"/>
      <c r="AP18" s="439"/>
      <c r="AQ18" s="439"/>
      <c r="AR18" s="439"/>
    </row>
    <row r="19" spans="1:44" x14ac:dyDescent="0.3">
      <c r="A19" s="446">
        <f t="shared" si="0"/>
        <v>15482.88</v>
      </c>
      <c r="B19" s="447">
        <f>IFERROR((#REF!-(I19*0.18/60)),0)</f>
        <v>0</v>
      </c>
      <c r="C19" s="453">
        <f t="shared" si="6"/>
        <v>368640</v>
      </c>
      <c r="D19" s="453">
        <f t="shared" si="7"/>
        <v>2580480</v>
      </c>
      <c r="E19" s="453">
        <f t="shared" si="8"/>
        <v>11182080</v>
      </c>
      <c r="F19" s="454" t="s">
        <v>393</v>
      </c>
      <c r="G19" s="455">
        <v>512</v>
      </c>
      <c r="H19" s="455">
        <f t="shared" si="1"/>
        <v>737280</v>
      </c>
      <c r="I19" s="455">
        <f t="shared" si="2"/>
        <v>5160960</v>
      </c>
      <c r="J19" s="455">
        <f t="shared" si="3"/>
        <v>22364160</v>
      </c>
      <c r="K19" s="450">
        <f>ROUNDUP(Cost_Setup!$F$7*730*G19,0)</f>
        <v>67277</v>
      </c>
      <c r="L19" s="456">
        <f t="shared" si="4"/>
        <v>40367</v>
      </c>
      <c r="M19" s="452" t="str">
        <f t="shared" si="5"/>
        <v>F512</v>
      </c>
      <c r="N19" s="31"/>
      <c r="O19" s="31"/>
      <c r="P19" s="31"/>
      <c r="Q19" s="31"/>
      <c r="R19" s="31"/>
      <c r="S19" s="31"/>
      <c r="T19" s="31"/>
      <c r="U19" s="31"/>
      <c r="V19" s="31"/>
      <c r="W19" s="31"/>
      <c r="X19" s="31"/>
      <c r="Z19" s="31"/>
      <c r="AA19" s="31"/>
      <c r="AB19" s="31"/>
      <c r="AC19" s="31"/>
      <c r="AD19" s="31"/>
      <c r="AE19" s="31"/>
      <c r="AF19" s="31"/>
      <c r="AG19" s="31"/>
      <c r="AH19" s="31"/>
      <c r="AI19" s="31"/>
      <c r="AJ19" s="439"/>
      <c r="AK19" s="439"/>
      <c r="AL19" s="439"/>
      <c r="AM19" s="439"/>
      <c r="AN19" s="31"/>
      <c r="AO19" s="31"/>
      <c r="AP19" s="31"/>
      <c r="AQ19" s="31"/>
      <c r="AR19" s="439"/>
    </row>
    <row r="20" spans="1:44" x14ac:dyDescent="0.3">
      <c r="A20" s="446">
        <f t="shared" si="0"/>
        <v>30965.759999999998</v>
      </c>
      <c r="B20" s="447">
        <f>IFERROR((#REF!-(I20*0.18/60)),0)</f>
        <v>0</v>
      </c>
      <c r="C20" s="453">
        <f t="shared" si="6"/>
        <v>737280</v>
      </c>
      <c r="D20" s="453">
        <f t="shared" si="7"/>
        <v>5160960</v>
      </c>
      <c r="E20" s="453">
        <f t="shared" si="8"/>
        <v>22364160</v>
      </c>
      <c r="F20" s="454" t="s">
        <v>394</v>
      </c>
      <c r="G20" s="455">
        <v>1024</v>
      </c>
      <c r="H20" s="455">
        <f t="shared" si="1"/>
        <v>1474560</v>
      </c>
      <c r="I20" s="455">
        <f t="shared" si="2"/>
        <v>10321920</v>
      </c>
      <c r="J20" s="455">
        <f t="shared" si="3"/>
        <v>44728320</v>
      </c>
      <c r="K20" s="450">
        <f>ROUNDUP(Cost_Setup!$F$7*730*G20,0)</f>
        <v>134554</v>
      </c>
      <c r="L20" s="456">
        <f t="shared" si="4"/>
        <v>80733</v>
      </c>
      <c r="M20" s="452" t="str">
        <f t="shared" si="5"/>
        <v>F1024</v>
      </c>
      <c r="N20" s="31"/>
      <c r="O20" s="31"/>
      <c r="P20" s="31"/>
      <c r="Q20" s="31"/>
      <c r="R20" s="31"/>
      <c r="S20" s="31"/>
      <c r="T20" s="31"/>
      <c r="U20" s="31"/>
      <c r="V20" s="31"/>
      <c r="W20" s="31"/>
      <c r="X20" s="31"/>
      <c r="Z20" s="31"/>
      <c r="AA20" s="31"/>
      <c r="AB20" s="31"/>
      <c r="AC20" s="31"/>
      <c r="AD20" s="31"/>
      <c r="AE20" s="31"/>
      <c r="AF20" s="31"/>
      <c r="AG20" s="31"/>
      <c r="AH20" s="31"/>
      <c r="AI20" s="31"/>
      <c r="AJ20" s="439"/>
      <c r="AK20" s="439"/>
      <c r="AL20" s="439"/>
      <c r="AM20" s="439"/>
      <c r="AN20" s="31"/>
      <c r="AO20" s="31"/>
      <c r="AP20" s="31"/>
      <c r="AQ20" s="31"/>
      <c r="AR20" s="439"/>
    </row>
    <row r="21" spans="1:44" ht="15" thickBot="1" x14ac:dyDescent="0.35">
      <c r="A21" s="446">
        <f t="shared" si="0"/>
        <v>61931.519999999997</v>
      </c>
      <c r="B21" s="447">
        <f>IFERROR((#REF!-(I21*0.18/60)),0)</f>
        <v>0</v>
      </c>
      <c r="C21" s="453">
        <f t="shared" si="6"/>
        <v>1474560</v>
      </c>
      <c r="D21" s="453">
        <f t="shared" si="7"/>
        <v>10321920</v>
      </c>
      <c r="E21" s="453">
        <f t="shared" si="8"/>
        <v>44728320</v>
      </c>
      <c r="F21" s="457" t="s">
        <v>395</v>
      </c>
      <c r="G21" s="458">
        <v>2048</v>
      </c>
      <c r="H21" s="458">
        <f t="shared" si="1"/>
        <v>2949120</v>
      </c>
      <c r="I21" s="458">
        <f t="shared" si="2"/>
        <v>20643840</v>
      </c>
      <c r="J21" s="458">
        <f t="shared" si="3"/>
        <v>89456640</v>
      </c>
      <c r="K21" s="450">
        <f>ROUNDUP(Cost_Setup!$F$7*730*G21,0)</f>
        <v>269108</v>
      </c>
      <c r="L21" s="459">
        <f t="shared" si="4"/>
        <v>161465</v>
      </c>
      <c r="M21" s="452" t="str">
        <f t="shared" si="5"/>
        <v>F2048</v>
      </c>
      <c r="N21" s="31"/>
      <c r="O21" s="31"/>
      <c r="P21" s="31"/>
      <c r="Q21" s="31"/>
      <c r="R21" s="31"/>
      <c r="S21" s="31"/>
      <c r="T21" s="31"/>
      <c r="U21" s="31"/>
      <c r="V21" s="31"/>
      <c r="W21" s="31"/>
      <c r="X21" s="31"/>
      <c r="Z21" s="31"/>
      <c r="AA21" s="31"/>
      <c r="AB21" s="31"/>
      <c r="AC21" s="31"/>
      <c r="AD21" s="31"/>
      <c r="AE21" s="31"/>
      <c r="AF21" s="31"/>
      <c r="AG21" s="31"/>
      <c r="AH21" s="31"/>
      <c r="AI21" s="31"/>
      <c r="AJ21" s="439"/>
      <c r="AK21" s="439"/>
      <c r="AL21" s="439"/>
      <c r="AM21" s="439"/>
      <c r="AN21" s="31"/>
      <c r="AO21" s="31"/>
      <c r="AP21" s="31"/>
      <c r="AQ21" s="31"/>
      <c r="AR21" s="439"/>
    </row>
    <row r="22" spans="1:44" x14ac:dyDescent="0.3">
      <c r="A22" s="439"/>
      <c r="B22" s="31"/>
      <c r="C22" s="439"/>
      <c r="D22" s="439"/>
      <c r="E22" s="439"/>
      <c r="F22" s="439"/>
      <c r="G22" s="439"/>
      <c r="H22" s="439"/>
      <c r="I22" s="439"/>
      <c r="J22" s="439"/>
      <c r="K22" s="439"/>
      <c r="L22" s="439"/>
      <c r="M22" s="439"/>
      <c r="N22" s="439"/>
      <c r="O22" s="439"/>
      <c r="P22" s="439"/>
      <c r="Q22" s="439"/>
      <c r="R22" s="439"/>
      <c r="S22" s="439"/>
      <c r="T22" s="439"/>
      <c r="U22" s="439"/>
      <c r="V22" s="439"/>
      <c r="W22" s="439"/>
      <c r="X22" s="439"/>
      <c r="Z22" s="439"/>
      <c r="AA22" s="439"/>
      <c r="AB22" s="439"/>
      <c r="AC22" s="439"/>
      <c r="AD22" s="439"/>
      <c r="AE22" s="439"/>
      <c r="AF22" s="439"/>
      <c r="AG22" s="439"/>
      <c r="AH22" s="439"/>
      <c r="AI22" s="439"/>
      <c r="AJ22" s="439"/>
      <c r="AK22" s="439"/>
      <c r="AL22" s="439"/>
      <c r="AM22" s="439"/>
      <c r="AN22" s="31"/>
      <c r="AO22" s="31"/>
      <c r="AP22" s="31"/>
      <c r="AQ22" s="31"/>
      <c r="AR22" s="439"/>
    </row>
    <row r="23" spans="1:44" x14ac:dyDescent="0.3">
      <c r="A23" s="439"/>
      <c r="B23" s="31"/>
      <c r="C23" s="439"/>
      <c r="D23" s="439"/>
      <c r="E23" s="439"/>
      <c r="F23" s="439"/>
      <c r="G23" s="439"/>
      <c r="H23" s="31"/>
      <c r="I23" s="31"/>
      <c r="J23" s="439"/>
      <c r="K23" s="439"/>
      <c r="L23" s="439"/>
      <c r="M23" s="439"/>
      <c r="N23" s="439"/>
      <c r="O23" s="439"/>
      <c r="P23" s="439"/>
      <c r="Q23" s="439"/>
      <c r="R23" s="439"/>
      <c r="S23" s="439"/>
      <c r="T23" s="439"/>
      <c r="U23" s="439"/>
      <c r="V23" s="439"/>
      <c r="W23" s="439"/>
      <c r="X23" s="439"/>
      <c r="Z23" s="439"/>
      <c r="AA23" s="439"/>
      <c r="AB23" s="439"/>
      <c r="AC23" s="439"/>
      <c r="AD23" s="439"/>
      <c r="AE23" s="439"/>
      <c r="AF23" s="439"/>
      <c r="AG23" s="439"/>
      <c r="AH23" s="439"/>
      <c r="AI23" s="439"/>
      <c r="AJ23" s="439"/>
      <c r="AK23" s="439"/>
      <c r="AL23" s="439"/>
      <c r="AM23" s="439"/>
      <c r="AN23" s="31"/>
      <c r="AO23" s="31"/>
      <c r="AP23" s="31"/>
      <c r="AQ23" s="31"/>
      <c r="AR23" s="439"/>
    </row>
    <row r="24" spans="1:44" ht="15" thickBot="1" x14ac:dyDescent="0.35">
      <c r="A24" s="439"/>
      <c r="B24" s="31"/>
      <c r="C24" s="439"/>
      <c r="D24" s="439"/>
      <c r="E24" s="439"/>
      <c r="F24" s="439"/>
      <c r="G24" s="439"/>
      <c r="H24" s="31"/>
      <c r="I24" s="31"/>
      <c r="J24" s="460"/>
      <c r="K24" s="461"/>
      <c r="L24" s="462"/>
      <c r="M24" s="439"/>
      <c r="N24" s="439"/>
      <c r="O24" s="439"/>
      <c r="P24" s="439"/>
      <c r="Q24" s="439"/>
      <c r="R24" s="439"/>
      <c r="S24" s="439"/>
      <c r="T24" s="439"/>
      <c r="U24" s="439"/>
      <c r="V24" s="439"/>
      <c r="W24" s="439"/>
      <c r="X24" s="439"/>
      <c r="Z24" s="439"/>
      <c r="AA24" s="439"/>
      <c r="AB24" s="439"/>
      <c r="AC24" s="439"/>
      <c r="AD24" s="439"/>
      <c r="AE24" s="439"/>
      <c r="AF24" s="439"/>
      <c r="AG24" s="439"/>
      <c r="AH24" s="439"/>
      <c r="AI24" s="439"/>
      <c r="AJ24" s="439"/>
      <c r="AK24" s="439"/>
      <c r="AL24" s="439"/>
      <c r="AM24" s="439"/>
      <c r="AN24" s="31"/>
      <c r="AO24" s="31"/>
      <c r="AP24" s="31"/>
      <c r="AQ24" s="31"/>
      <c r="AR24" s="439"/>
    </row>
    <row r="25" spans="1:44" x14ac:dyDescent="0.3">
      <c r="A25" s="439"/>
      <c r="B25" s="31"/>
      <c r="C25" s="439"/>
      <c r="D25" s="439"/>
      <c r="E25" s="439"/>
      <c r="F25" s="439"/>
      <c r="G25" s="439"/>
      <c r="H25" s="31"/>
      <c r="I25" s="31"/>
      <c r="J25" s="462"/>
      <c r="K25" s="439"/>
      <c r="L25" s="462"/>
      <c r="M25" s="439"/>
      <c r="N25" s="439"/>
      <c r="O25" s="439"/>
      <c r="P25" s="439"/>
      <c r="Q25" s="439"/>
      <c r="R25" s="461"/>
      <c r="S25" s="439"/>
      <c r="T25" s="439"/>
      <c r="U25" s="439"/>
      <c r="V25" s="439"/>
      <c r="W25" s="439"/>
      <c r="X25" s="461"/>
      <c r="Z25" s="439"/>
      <c r="AA25" s="439"/>
      <c r="AB25" s="439"/>
      <c r="AC25" s="439"/>
      <c r="AD25" s="439"/>
      <c r="AE25" s="439"/>
      <c r="AF25" s="439"/>
      <c r="AG25" s="439"/>
      <c r="AH25" s="439"/>
      <c r="AI25" s="439"/>
      <c r="AJ25" s="439"/>
      <c r="AK25" s="439"/>
      <c r="AL25" s="439"/>
      <c r="AM25" s="439"/>
      <c r="AN25" s="313" t="s">
        <v>396</v>
      </c>
      <c r="AO25" s="31"/>
      <c r="AP25" s="31"/>
      <c r="AQ25" s="31"/>
      <c r="AR25" s="439"/>
    </row>
    <row r="26" spans="1:44" ht="15" thickBot="1" x14ac:dyDescent="0.35">
      <c r="A26" s="439"/>
      <c r="B26" s="31"/>
      <c r="C26" s="439"/>
      <c r="D26" s="439"/>
      <c r="E26" s="439"/>
      <c r="F26" s="439"/>
      <c r="G26" s="439"/>
      <c r="H26" s="31"/>
      <c r="I26" s="31"/>
      <c r="J26" s="439"/>
      <c r="K26" s="439"/>
      <c r="L26" s="439"/>
      <c r="M26" s="439"/>
      <c r="N26" s="439"/>
      <c r="O26" s="439"/>
      <c r="P26" s="439"/>
      <c r="Q26" s="439"/>
      <c r="R26" s="439"/>
      <c r="S26" s="439"/>
      <c r="T26" s="439"/>
      <c r="U26" s="439"/>
      <c r="V26" s="439"/>
      <c r="W26" s="439"/>
      <c r="X26" s="439"/>
      <c r="Z26" s="439"/>
      <c r="AA26" s="439"/>
      <c r="AB26" s="439"/>
      <c r="AC26" s="439"/>
      <c r="AD26" s="439"/>
      <c r="AE26" s="439"/>
      <c r="AF26" s="439"/>
      <c r="AG26" s="439"/>
      <c r="AH26" s="439"/>
      <c r="AI26" s="439"/>
      <c r="AJ26" s="439"/>
      <c r="AK26" s="439"/>
      <c r="AL26" s="439"/>
      <c r="AM26" s="439"/>
      <c r="AN26" s="314">
        <v>1.5</v>
      </c>
      <c r="AO26" s="31"/>
      <c r="AP26" s="31"/>
      <c r="AQ26" s="31"/>
      <c r="AR26" s="439"/>
    </row>
    <row r="27" spans="1:44" ht="15" thickBot="1" x14ac:dyDescent="0.35">
      <c r="A27" s="439"/>
      <c r="B27" s="31"/>
      <c r="C27" s="439"/>
      <c r="D27" s="439"/>
      <c r="E27" s="439"/>
      <c r="F27" s="315" t="s">
        <v>397</v>
      </c>
      <c r="G27" s="316"/>
      <c r="H27" s="316"/>
      <c r="I27" s="316"/>
      <c r="J27" s="316"/>
      <c r="K27" s="316"/>
      <c r="L27" s="316"/>
      <c r="M27" s="316"/>
      <c r="N27" s="317"/>
      <c r="O27" s="439"/>
      <c r="P27" s="439"/>
      <c r="Q27" s="439"/>
      <c r="R27" s="439"/>
      <c r="S27" s="439"/>
      <c r="T27" s="439"/>
      <c r="U27" s="439"/>
      <c r="V27" s="439"/>
      <c r="W27" s="439"/>
      <c r="X27" s="439"/>
      <c r="Y27" s="439"/>
      <c r="Z27" s="31"/>
      <c r="AA27" s="439"/>
      <c r="AB27" s="439"/>
      <c r="AC27" s="439"/>
      <c r="AD27" s="439"/>
      <c r="AE27" s="439"/>
      <c r="AF27" s="439"/>
      <c r="AG27" s="439"/>
      <c r="AH27" s="439"/>
      <c r="AI27" s="439"/>
      <c r="AJ27" s="439"/>
      <c r="AK27" s="439"/>
      <c r="AL27" s="439"/>
      <c r="AM27" s="439"/>
      <c r="AN27" s="439"/>
      <c r="AO27" s="31"/>
      <c r="AP27" s="31"/>
      <c r="AQ27" s="31"/>
      <c r="AR27" s="31"/>
    </row>
    <row r="28" spans="1:44" ht="15" thickBot="1" x14ac:dyDescent="0.35">
      <c r="A28" s="439"/>
      <c r="B28" s="31"/>
      <c r="C28" s="439"/>
      <c r="D28" s="439"/>
      <c r="E28" s="439"/>
      <c r="F28" s="318" t="s">
        <v>398</v>
      </c>
      <c r="G28" s="319" t="s">
        <v>399</v>
      </c>
      <c r="H28" s="319" t="s">
        <v>400</v>
      </c>
      <c r="I28" s="319" t="s">
        <v>401</v>
      </c>
      <c r="J28" s="319" t="s">
        <v>402</v>
      </c>
      <c r="K28" s="319" t="s">
        <v>403</v>
      </c>
      <c r="L28" s="319" t="s">
        <v>404</v>
      </c>
      <c r="M28" s="319" t="s">
        <v>405</v>
      </c>
      <c r="N28" s="320" t="s">
        <v>406</v>
      </c>
      <c r="O28" s="439"/>
      <c r="P28" s="439"/>
      <c r="Q28" s="439"/>
      <c r="R28" s="439"/>
      <c r="S28" s="439"/>
      <c r="T28" s="439"/>
      <c r="U28" s="439"/>
      <c r="V28" s="439"/>
      <c r="W28" s="439"/>
      <c r="X28" s="439"/>
      <c r="Y28" s="439"/>
      <c r="Z28" s="31"/>
      <c r="AA28" s="439"/>
      <c r="AB28" s="439"/>
      <c r="AC28" s="439"/>
      <c r="AD28" s="439"/>
      <c r="AE28" s="439"/>
      <c r="AF28" s="439"/>
      <c r="AG28" s="439"/>
      <c r="AH28" s="439"/>
      <c r="AI28" s="439"/>
      <c r="AJ28" s="439"/>
      <c r="AK28" s="439"/>
      <c r="AL28" s="439"/>
      <c r="AM28" s="439"/>
      <c r="AN28" s="439"/>
      <c r="AO28" s="31"/>
      <c r="AP28" s="31"/>
      <c r="AQ28" s="31"/>
      <c r="AR28" s="31"/>
    </row>
    <row r="29" spans="1:44" ht="15" thickBot="1" x14ac:dyDescent="0.35">
      <c r="A29" s="439"/>
      <c r="B29" s="31"/>
      <c r="C29" s="462">
        <f>H15*0.18/60*5</f>
        <v>691.19999999999993</v>
      </c>
      <c r="D29" s="439"/>
      <c r="E29" s="439"/>
      <c r="F29" s="321" t="s">
        <v>262</v>
      </c>
      <c r="G29" s="322">
        <v>250</v>
      </c>
      <c r="H29" s="323">
        <v>0.85</v>
      </c>
      <c r="I29" s="323">
        <v>0.05</v>
      </c>
      <c r="J29" s="322">
        <v>1</v>
      </c>
      <c r="K29" s="322">
        <f>IF((J29+1)&gt;$AN$39,$AN$39,J29+1)</f>
        <v>2</v>
      </c>
      <c r="L29" s="324">
        <v>1</v>
      </c>
      <c r="M29" s="322">
        <v>1</v>
      </c>
      <c r="N29" s="325">
        <v>1</v>
      </c>
      <c r="O29" s="439"/>
      <c r="P29" s="439"/>
      <c r="Q29" s="439"/>
      <c r="R29" s="439"/>
      <c r="S29" s="439"/>
      <c r="T29" s="326" t="s">
        <v>407</v>
      </c>
      <c r="U29" s="439"/>
      <c r="V29" s="439"/>
      <c r="W29" s="439"/>
      <c r="X29" s="439"/>
      <c r="Y29" s="439"/>
      <c r="Z29" s="31"/>
      <c r="AA29" s="439"/>
      <c r="AB29" s="439"/>
      <c r="AC29" s="439"/>
      <c r="AD29" s="439"/>
      <c r="AE29" s="439"/>
      <c r="AF29" s="439"/>
      <c r="AG29" s="439"/>
      <c r="AH29" s="439"/>
      <c r="AI29" s="439"/>
      <c r="AJ29" s="439"/>
      <c r="AK29" s="439"/>
      <c r="AL29" s="439"/>
      <c r="AM29" s="439"/>
      <c r="AN29" s="630" t="s">
        <v>408</v>
      </c>
      <c r="AO29" s="631"/>
      <c r="AP29" s="632"/>
      <c r="AQ29" s="439"/>
      <c r="AR29" s="31"/>
    </row>
    <row r="30" spans="1:44" ht="15" thickBot="1" x14ac:dyDescent="0.35">
      <c r="A30" s="439"/>
      <c r="B30" s="31"/>
      <c r="C30" s="439"/>
      <c r="D30" s="439"/>
      <c r="E30" s="439"/>
      <c r="F30" s="321" t="s">
        <v>263</v>
      </c>
      <c r="G30" s="322">
        <v>150</v>
      </c>
      <c r="H30" s="323">
        <v>0.1</v>
      </c>
      <c r="I30" s="323">
        <v>0.15</v>
      </c>
      <c r="J30" s="322">
        <v>6</v>
      </c>
      <c r="K30" s="322">
        <f t="shared" ref="K30" si="9">IF((J30+1)&gt;$AN$39,$AN$39,J30+1)</f>
        <v>7</v>
      </c>
      <c r="L30" s="324">
        <v>2</v>
      </c>
      <c r="M30" s="322">
        <v>4</v>
      </c>
      <c r="N30" s="325">
        <v>6</v>
      </c>
      <c r="O30" s="439"/>
      <c r="P30" s="439"/>
      <c r="Q30" s="439"/>
      <c r="R30" s="439"/>
      <c r="S30" s="439"/>
      <c r="T30" s="327" t="s">
        <v>409</v>
      </c>
      <c r="U30" s="328" t="s">
        <v>410</v>
      </c>
      <c r="V30" s="439"/>
      <c r="W30" s="439"/>
      <c r="X30" s="439"/>
      <c r="Y30" s="439"/>
      <c r="Z30" s="31"/>
      <c r="AA30" s="439"/>
      <c r="AB30" s="439"/>
      <c r="AC30" s="439"/>
      <c r="AD30" s="439"/>
      <c r="AE30" s="439"/>
      <c r="AF30" s="439"/>
      <c r="AG30" s="439"/>
      <c r="AH30" s="439"/>
      <c r="AI30" s="439"/>
      <c r="AJ30" s="439"/>
      <c r="AK30" s="439"/>
      <c r="AL30" s="439"/>
      <c r="AM30" s="439"/>
      <c r="AN30" s="329">
        <f>64/1000</f>
        <v>6.4000000000000001E-2</v>
      </c>
      <c r="AO30" s="330"/>
      <c r="AP30" s="331"/>
      <c r="AQ30" s="439"/>
      <c r="AR30" s="31"/>
    </row>
    <row r="31" spans="1:44" ht="15" thickBot="1" x14ac:dyDescent="0.35">
      <c r="A31" s="439"/>
      <c r="B31" s="31"/>
      <c r="C31" s="439"/>
      <c r="D31" s="439"/>
      <c r="E31" s="439"/>
      <c r="F31" s="332" t="s">
        <v>264</v>
      </c>
      <c r="G31" s="330">
        <v>100</v>
      </c>
      <c r="H31" s="333">
        <v>0.05</v>
      </c>
      <c r="I31" s="333">
        <v>0.5</v>
      </c>
      <c r="J31" s="330">
        <v>38</v>
      </c>
      <c r="K31" s="330">
        <f>IF((J31+1)&gt;$AN$39,$AN$39,J31+1)</f>
        <v>24</v>
      </c>
      <c r="L31" s="311">
        <v>4</v>
      </c>
      <c r="M31" s="330">
        <v>16</v>
      </c>
      <c r="N31" s="331">
        <v>24</v>
      </c>
      <c r="O31" s="439"/>
      <c r="P31" s="439"/>
      <c r="Q31" s="439"/>
      <c r="R31" s="439"/>
      <c r="S31" s="439"/>
      <c r="T31" s="463" t="s">
        <v>390</v>
      </c>
      <c r="U31" s="464">
        <f>VLOOKUP(T31,FabricMapping!$F$10:$L$21,2,FALSE)</f>
        <v>64</v>
      </c>
      <c r="V31" s="439"/>
      <c r="W31" s="439"/>
      <c r="X31" s="439"/>
      <c r="Y31" s="439"/>
      <c r="Z31" s="31"/>
      <c r="AA31" s="439"/>
      <c r="AB31" s="439"/>
      <c r="AC31" s="439"/>
      <c r="AD31" s="439"/>
      <c r="AE31" s="439"/>
      <c r="AF31" s="439"/>
      <c r="AG31" s="439"/>
      <c r="AH31" s="439"/>
      <c r="AI31" s="439"/>
      <c r="AJ31" s="439"/>
      <c r="AK31" s="439"/>
      <c r="AL31" s="439"/>
      <c r="AM31" s="439"/>
      <c r="AN31" s="439"/>
      <c r="AO31" s="31"/>
      <c r="AP31" s="31"/>
      <c r="AQ31" s="31"/>
      <c r="AR31" s="31"/>
    </row>
    <row r="32" spans="1:44" ht="15" thickBot="1" x14ac:dyDescent="0.35">
      <c r="A32" s="439"/>
      <c r="B32" s="31"/>
      <c r="C32" s="439"/>
      <c r="D32" s="439"/>
      <c r="E32" s="439"/>
      <c r="F32" s="439"/>
      <c r="G32" s="439"/>
      <c r="H32" s="439"/>
      <c r="I32" s="439"/>
      <c r="J32" s="439"/>
      <c r="K32" s="439"/>
      <c r="L32" s="439"/>
      <c r="M32" s="439"/>
      <c r="N32" s="439"/>
      <c r="O32" s="439"/>
      <c r="P32" s="439"/>
      <c r="Q32" s="439"/>
      <c r="R32" s="439"/>
      <c r="S32" s="439"/>
      <c r="T32" s="439"/>
      <c r="U32" s="439"/>
      <c r="V32" s="439"/>
      <c r="W32" s="439"/>
      <c r="X32" s="439"/>
      <c r="Z32" s="439"/>
      <c r="AA32" s="439"/>
      <c r="AB32" s="439"/>
      <c r="AC32" s="439"/>
      <c r="AD32" s="439"/>
      <c r="AE32" s="439"/>
      <c r="AF32" s="439"/>
      <c r="AG32" s="439"/>
      <c r="AH32" s="439"/>
      <c r="AI32" s="439"/>
      <c r="AJ32" s="439"/>
      <c r="AK32" s="439"/>
      <c r="AL32" s="439"/>
      <c r="AM32" s="439"/>
      <c r="AN32" s="31"/>
      <c r="AO32" s="31"/>
      <c r="AP32" s="31"/>
      <c r="AQ32" s="31"/>
      <c r="AR32" s="439"/>
    </row>
    <row r="33" spans="6:43" x14ac:dyDescent="0.3">
      <c r="F33" s="439"/>
      <c r="G33" s="439"/>
      <c r="H33" s="439"/>
      <c r="I33" s="439"/>
      <c r="J33" s="439"/>
      <c r="K33" s="439"/>
      <c r="L33" s="439"/>
      <c r="M33" s="439"/>
      <c r="N33" s="439"/>
      <c r="O33" s="439"/>
      <c r="P33" s="439"/>
      <c r="Q33" s="439"/>
      <c r="R33" s="439"/>
      <c r="S33" s="439"/>
      <c r="T33" s="439"/>
      <c r="U33" s="439"/>
      <c r="V33" s="439"/>
      <c r="W33" s="439"/>
      <c r="X33" s="439"/>
      <c r="Z33" s="439"/>
      <c r="AA33" s="439"/>
      <c r="AB33" s="439"/>
      <c r="AC33" s="439"/>
      <c r="AD33" s="439"/>
      <c r="AE33" s="439"/>
      <c r="AF33" s="439"/>
      <c r="AG33" s="439"/>
      <c r="AH33" s="439"/>
      <c r="AI33" s="439"/>
      <c r="AJ33" s="439"/>
      <c r="AK33" s="439"/>
      <c r="AL33" s="439"/>
      <c r="AM33" s="439"/>
      <c r="AN33" s="630" t="s">
        <v>411</v>
      </c>
      <c r="AO33" s="631"/>
      <c r="AP33" s="632"/>
      <c r="AQ33" s="31"/>
    </row>
    <row r="34" spans="6:43" ht="15" thickBot="1" x14ac:dyDescent="0.35">
      <c r="F34" s="439"/>
      <c r="G34" s="439"/>
      <c r="H34" s="439"/>
      <c r="I34" s="439"/>
      <c r="J34" s="439"/>
      <c r="K34" s="439"/>
      <c r="L34" s="439"/>
      <c r="M34" s="439"/>
      <c r="N34" s="439"/>
      <c r="O34" s="439"/>
      <c r="P34" s="439"/>
      <c r="Q34" s="439"/>
      <c r="R34" s="439"/>
      <c r="S34" s="439"/>
      <c r="T34" s="439"/>
      <c r="U34" s="439"/>
      <c r="V34" s="439"/>
      <c r="W34" s="439"/>
      <c r="X34" s="439"/>
      <c r="Z34" s="439"/>
      <c r="AA34" s="439"/>
      <c r="AB34" s="439"/>
      <c r="AC34" s="439"/>
      <c r="AD34" s="439"/>
      <c r="AE34" s="439"/>
      <c r="AF34" s="439"/>
      <c r="AG34" s="439"/>
      <c r="AH34" s="439"/>
      <c r="AI34" s="439"/>
      <c r="AJ34" s="439"/>
      <c r="AK34" s="439"/>
      <c r="AL34" s="439"/>
      <c r="AM34" s="439"/>
      <c r="AN34" s="635">
        <v>16</v>
      </c>
      <c r="AO34" s="636"/>
      <c r="AP34" s="637"/>
      <c r="AQ34" s="31"/>
    </row>
    <row r="35" spans="6:43" x14ac:dyDescent="0.3">
      <c r="F35" s="439"/>
      <c r="G35" s="439"/>
      <c r="H35" s="439"/>
      <c r="I35" s="439"/>
      <c r="J35" s="439"/>
      <c r="K35" s="439"/>
      <c r="L35" s="439"/>
      <c r="M35" s="439"/>
      <c r="N35" s="439"/>
      <c r="O35" s="439"/>
      <c r="P35" s="439"/>
      <c r="Q35" s="439"/>
      <c r="R35" s="439"/>
      <c r="S35" s="439"/>
      <c r="T35" s="439"/>
      <c r="U35" s="439"/>
      <c r="V35" s="439"/>
      <c r="W35" s="439"/>
      <c r="X35" s="439"/>
      <c r="Z35" s="439"/>
      <c r="AA35" s="439"/>
      <c r="AB35" s="439"/>
      <c r="AC35" s="439"/>
      <c r="AD35" s="439"/>
      <c r="AE35" s="439"/>
      <c r="AF35" s="439"/>
      <c r="AG35" s="439"/>
      <c r="AH35" s="439"/>
      <c r="AI35" s="439"/>
      <c r="AJ35" s="439"/>
      <c r="AK35" s="439"/>
      <c r="AL35" s="439"/>
      <c r="AM35" s="439"/>
      <c r="AN35" s="630" t="s">
        <v>412</v>
      </c>
      <c r="AO35" s="631"/>
      <c r="AP35" s="632"/>
      <c r="AQ35" s="31"/>
    </row>
    <row r="36" spans="6:43" ht="15" thickBot="1" x14ac:dyDescent="0.35">
      <c r="F36" s="439"/>
      <c r="G36" s="439"/>
      <c r="H36" s="439"/>
      <c r="I36" s="439"/>
      <c r="J36" s="439"/>
      <c r="K36" s="439"/>
      <c r="L36" s="439"/>
      <c r="M36" s="439"/>
      <c r="N36" s="439"/>
      <c r="O36" s="439"/>
      <c r="P36" s="439"/>
      <c r="Q36" s="439"/>
      <c r="R36" s="439"/>
      <c r="S36" s="439"/>
      <c r="T36" s="439"/>
      <c r="U36" s="439"/>
      <c r="V36" s="439"/>
      <c r="W36" s="439"/>
      <c r="X36" s="439"/>
      <c r="Z36" s="439"/>
      <c r="AA36" s="439"/>
      <c r="AB36" s="439"/>
      <c r="AC36" s="439"/>
      <c r="AD36" s="439"/>
      <c r="AE36" s="439"/>
      <c r="AF36" s="439"/>
      <c r="AG36" s="439"/>
      <c r="AH36" s="439"/>
      <c r="AI36" s="439"/>
      <c r="AJ36" s="439"/>
      <c r="AK36" s="439"/>
      <c r="AL36" s="439"/>
      <c r="AM36" s="439"/>
      <c r="AN36" s="635">
        <v>8</v>
      </c>
      <c r="AO36" s="636"/>
      <c r="AP36" s="637"/>
      <c r="AQ36" s="31"/>
    </row>
    <row r="37" spans="6:43" ht="15" thickBot="1" x14ac:dyDescent="0.35">
      <c r="F37" s="638" t="s">
        <v>413</v>
      </c>
      <c r="G37" s="639"/>
      <c r="H37" s="639"/>
      <c r="I37" s="639"/>
      <c r="J37" s="640"/>
      <c r="K37" s="439"/>
      <c r="L37" s="439"/>
      <c r="M37" s="439"/>
      <c r="N37" s="439"/>
      <c r="O37" s="439"/>
      <c r="P37" s="439"/>
      <c r="Q37" s="439"/>
      <c r="R37" s="439"/>
      <c r="S37" s="439"/>
      <c r="T37" s="439"/>
      <c r="U37" s="439"/>
      <c r="V37" s="439"/>
      <c r="W37" s="439"/>
      <c r="X37" s="439"/>
      <c r="Z37" s="439"/>
      <c r="AA37" s="439"/>
      <c r="AB37" s="439"/>
      <c r="AC37" s="439"/>
      <c r="AD37" s="439"/>
      <c r="AE37" s="439"/>
      <c r="AF37" s="439"/>
      <c r="AG37" s="439"/>
      <c r="AH37" s="439"/>
      <c r="AI37" s="439"/>
      <c r="AJ37" s="439"/>
      <c r="AK37" s="439"/>
      <c r="AL37" s="439"/>
      <c r="AM37" s="439"/>
      <c r="AN37" s="31"/>
      <c r="AO37" s="31"/>
      <c r="AP37" s="31"/>
      <c r="AQ37" s="31"/>
    </row>
    <row r="38" spans="6:43" ht="15" thickBot="1" x14ac:dyDescent="0.35">
      <c r="F38" s="334" t="s">
        <v>414</v>
      </c>
      <c r="G38" s="335" t="s">
        <v>415</v>
      </c>
      <c r="H38" s="335" t="s">
        <v>416</v>
      </c>
      <c r="I38" s="335" t="s">
        <v>417</v>
      </c>
      <c r="J38" s="336" t="s">
        <v>418</v>
      </c>
      <c r="K38" s="439"/>
      <c r="L38" s="439"/>
      <c r="M38" s="439"/>
      <c r="N38" s="439"/>
      <c r="O38" s="439"/>
      <c r="P38" s="439"/>
      <c r="Q38" s="439"/>
      <c r="R38" s="439"/>
      <c r="S38" s="439"/>
      <c r="T38" s="31"/>
      <c r="U38" s="31"/>
      <c r="V38" s="31"/>
      <c r="W38" s="439"/>
      <c r="X38" s="439"/>
      <c r="Z38" s="439"/>
      <c r="AA38" s="439"/>
      <c r="AB38" s="439"/>
      <c r="AC38" s="439"/>
      <c r="AD38" s="439"/>
      <c r="AE38" s="439"/>
      <c r="AF38" s="439"/>
      <c r="AG38" s="439"/>
      <c r="AH38" s="439"/>
      <c r="AI38" s="439"/>
      <c r="AJ38" s="439"/>
      <c r="AK38" s="439"/>
      <c r="AL38" s="439"/>
      <c r="AM38" s="439"/>
      <c r="AN38" s="337" t="s">
        <v>419</v>
      </c>
      <c r="AO38" s="31"/>
      <c r="AP38" s="31"/>
      <c r="AQ38" s="31"/>
    </row>
    <row r="39" spans="6:43" ht="15" thickBot="1" x14ac:dyDescent="0.35">
      <c r="F39" s="338" t="s">
        <v>420</v>
      </c>
      <c r="G39" s="339">
        <v>4</v>
      </c>
      <c r="H39" s="339">
        <v>32</v>
      </c>
      <c r="I39" s="339">
        <v>2</v>
      </c>
      <c r="J39" s="340">
        <v>28</v>
      </c>
      <c r="K39" s="439"/>
      <c r="L39" s="439"/>
      <c r="M39" s="439"/>
      <c r="N39" s="439"/>
      <c r="O39" s="439"/>
      <c r="P39" s="439"/>
      <c r="Q39" s="439"/>
      <c r="R39" s="439"/>
      <c r="S39" s="439"/>
      <c r="T39" s="31"/>
      <c r="U39" s="31"/>
      <c r="V39" s="31"/>
      <c r="W39" s="439"/>
      <c r="X39" s="439"/>
      <c r="Z39" s="439"/>
      <c r="AA39" s="439"/>
      <c r="AB39" s="439"/>
      <c r="AC39" s="439"/>
      <c r="AD39" s="439"/>
      <c r="AE39" s="439"/>
      <c r="AF39" s="439"/>
      <c r="AG39" s="439"/>
      <c r="AH39" s="439"/>
      <c r="AI39" s="439"/>
      <c r="AJ39" s="439"/>
      <c r="AK39" s="439"/>
      <c r="AL39" s="439"/>
      <c r="AM39" s="439"/>
      <c r="AN39" s="341">
        <f>CEILING(2,($U$31*6)/16)</f>
        <v>24</v>
      </c>
      <c r="AO39" s="439"/>
      <c r="AP39" s="439"/>
      <c r="AQ39" s="439"/>
    </row>
    <row r="40" spans="6:43" ht="15" thickBot="1" x14ac:dyDescent="0.35">
      <c r="F40" s="342" t="s">
        <v>56</v>
      </c>
      <c r="G40" s="343">
        <v>8</v>
      </c>
      <c r="H40" s="343">
        <v>64</v>
      </c>
      <c r="I40" s="343">
        <v>4</v>
      </c>
      <c r="J40" s="344">
        <v>60</v>
      </c>
      <c r="K40" s="439"/>
      <c r="L40" s="439"/>
      <c r="M40" s="439"/>
      <c r="N40" s="439"/>
      <c r="O40" s="439"/>
      <c r="P40" s="439"/>
      <c r="Q40" s="439"/>
      <c r="R40" s="439"/>
      <c r="S40" s="439"/>
      <c r="T40" s="31"/>
      <c r="U40" s="31"/>
      <c r="V40" s="31"/>
      <c r="W40" s="439"/>
      <c r="X40" s="439"/>
      <c r="Z40" s="439"/>
      <c r="AA40" s="439"/>
      <c r="AB40" s="439"/>
      <c r="AC40" s="439"/>
      <c r="AD40" s="439"/>
      <c r="AE40" s="439"/>
      <c r="AF40" s="439"/>
      <c r="AG40" s="439"/>
      <c r="AH40" s="439"/>
      <c r="AI40" s="439"/>
      <c r="AJ40" s="439"/>
      <c r="AK40" s="439"/>
      <c r="AL40" s="439"/>
      <c r="AM40" s="439"/>
      <c r="AN40" s="439"/>
      <c r="AO40" s="439"/>
      <c r="AP40" s="439"/>
      <c r="AQ40" s="439"/>
    </row>
    <row r="41" spans="6:43" x14ac:dyDescent="0.3">
      <c r="F41" s="342" t="s">
        <v>421</v>
      </c>
      <c r="G41" s="343">
        <v>16</v>
      </c>
      <c r="H41" s="343">
        <v>128</v>
      </c>
      <c r="I41" s="343">
        <v>8</v>
      </c>
      <c r="J41" s="344">
        <v>124</v>
      </c>
      <c r="K41" s="439"/>
      <c r="L41" s="439"/>
      <c r="M41" s="439"/>
      <c r="N41" s="439"/>
      <c r="O41" s="439"/>
      <c r="P41" s="439"/>
      <c r="Q41" s="439"/>
      <c r="R41" s="439"/>
      <c r="S41" s="439"/>
      <c r="T41" s="31"/>
      <c r="U41" s="31"/>
      <c r="V41" s="31"/>
      <c r="W41" s="439"/>
      <c r="X41" s="439"/>
      <c r="Z41" s="439"/>
      <c r="AA41" s="439"/>
      <c r="AB41" s="439"/>
      <c r="AC41" s="439"/>
      <c r="AD41" s="439"/>
      <c r="AE41" s="439"/>
      <c r="AF41" s="439"/>
      <c r="AG41" s="439"/>
      <c r="AH41" s="439"/>
      <c r="AI41" s="439"/>
      <c r="AJ41" s="439"/>
      <c r="AK41" s="439"/>
      <c r="AL41" s="439"/>
      <c r="AM41" s="31"/>
      <c r="AN41" s="630" t="s">
        <v>422</v>
      </c>
      <c r="AO41" s="631"/>
      <c r="AP41" s="632"/>
      <c r="AQ41" s="439"/>
    </row>
    <row r="42" spans="6:43" ht="15" thickBot="1" x14ac:dyDescent="0.35">
      <c r="F42" s="342" t="s">
        <v>423</v>
      </c>
      <c r="G42" s="343">
        <v>32</v>
      </c>
      <c r="H42" s="343">
        <v>256</v>
      </c>
      <c r="I42" s="343">
        <v>16</v>
      </c>
      <c r="J42" s="344">
        <v>252</v>
      </c>
      <c r="K42" s="439"/>
      <c r="L42" s="439"/>
      <c r="M42" s="439"/>
      <c r="N42" s="439"/>
      <c r="O42" s="439"/>
      <c r="P42" s="439"/>
      <c r="Q42" s="439"/>
      <c r="R42" s="439"/>
      <c r="S42" s="439"/>
      <c r="T42" s="31"/>
      <c r="U42" s="31"/>
      <c r="V42" s="31"/>
      <c r="W42" s="439"/>
      <c r="X42" s="439"/>
      <c r="Z42" s="439"/>
      <c r="AA42" s="439"/>
      <c r="AB42" s="439"/>
      <c r="AC42" s="439"/>
      <c r="AD42" s="439"/>
      <c r="AE42" s="439"/>
      <c r="AF42" s="439"/>
      <c r="AG42" s="439"/>
      <c r="AH42" s="439"/>
      <c r="AI42" s="439"/>
      <c r="AJ42" s="439"/>
      <c r="AK42" s="439"/>
      <c r="AL42" s="439"/>
      <c r="AM42" s="31"/>
      <c r="AN42" s="329">
        <f>8/300</f>
        <v>2.6666666666666668E-2</v>
      </c>
      <c r="AO42" s="330"/>
      <c r="AP42" s="331"/>
      <c r="AQ42" s="439"/>
    </row>
    <row r="43" spans="6:43" ht="15" thickBot="1" x14ac:dyDescent="0.35">
      <c r="F43" s="345" t="s">
        <v>424</v>
      </c>
      <c r="G43" s="346">
        <v>64</v>
      </c>
      <c r="H43" s="346">
        <v>512</v>
      </c>
      <c r="I43" s="346">
        <v>32</v>
      </c>
      <c r="J43" s="347">
        <v>508</v>
      </c>
      <c r="K43" s="439"/>
      <c r="L43" s="439"/>
      <c r="M43" s="439"/>
      <c r="N43" s="439"/>
      <c r="O43" s="439"/>
      <c r="P43" s="439"/>
      <c r="Q43" s="439"/>
      <c r="R43" s="439"/>
      <c r="S43" s="439"/>
      <c r="T43" s="31"/>
      <c r="U43" s="31"/>
      <c r="V43" s="31"/>
      <c r="W43" s="439"/>
      <c r="X43" s="439"/>
      <c r="Z43" s="439"/>
      <c r="AA43" s="439"/>
      <c r="AB43" s="439"/>
      <c r="AC43" s="439"/>
      <c r="AD43" s="439"/>
      <c r="AE43" s="439"/>
      <c r="AF43" s="439"/>
      <c r="AG43" s="439"/>
      <c r="AH43" s="439"/>
      <c r="AI43" s="439"/>
      <c r="AJ43" s="439"/>
      <c r="AK43" s="439"/>
      <c r="AL43" s="439"/>
      <c r="AM43" s="31"/>
      <c r="AN43" s="31"/>
      <c r="AO43" s="31"/>
      <c r="AP43" s="439"/>
      <c r="AQ43" s="439"/>
    </row>
    <row r="44" spans="6:43" x14ac:dyDescent="0.3">
      <c r="F44" s="439"/>
      <c r="G44" s="439"/>
      <c r="H44" s="439"/>
      <c r="I44" s="439"/>
      <c r="J44" s="439"/>
      <c r="K44" s="439"/>
      <c r="L44" s="439"/>
      <c r="M44" s="439"/>
      <c r="N44" s="439"/>
      <c r="O44" s="439"/>
      <c r="P44" s="439"/>
      <c r="Q44" s="439"/>
      <c r="R44" s="439"/>
      <c r="S44" s="439"/>
      <c r="T44" s="31"/>
      <c r="U44" s="31"/>
      <c r="V44" s="31"/>
      <c r="W44" s="439"/>
      <c r="X44" s="439"/>
      <c r="Z44" s="439"/>
      <c r="AA44" s="439"/>
      <c r="AB44" s="439"/>
      <c r="AC44" s="439"/>
      <c r="AD44" s="439"/>
      <c r="AE44" s="439"/>
      <c r="AF44" s="439"/>
      <c r="AG44" s="439"/>
      <c r="AH44" s="439"/>
      <c r="AI44" s="439"/>
      <c r="AJ44" s="439"/>
      <c r="AK44" s="439"/>
      <c r="AL44" s="439"/>
      <c r="AM44" s="31"/>
      <c r="AN44" s="31"/>
      <c r="AO44" s="31"/>
      <c r="AP44" s="439"/>
      <c r="AQ44" s="439"/>
    </row>
    <row r="45" spans="6:43" x14ac:dyDescent="0.3">
      <c r="F45" s="439"/>
      <c r="G45" s="439"/>
      <c r="H45" s="439"/>
      <c r="I45" s="439"/>
      <c r="J45" s="439"/>
      <c r="K45" s="439"/>
      <c r="L45" s="439"/>
      <c r="M45" s="439"/>
      <c r="N45" s="439"/>
      <c r="O45" s="439"/>
      <c r="P45" s="439"/>
      <c r="Q45" s="439"/>
      <c r="R45" s="439"/>
      <c r="S45" s="439"/>
      <c r="T45" s="31"/>
      <c r="U45" s="31"/>
      <c r="V45" s="31"/>
      <c r="W45" s="439"/>
      <c r="X45" s="439"/>
      <c r="Z45" s="439"/>
      <c r="AA45" s="439"/>
      <c r="AB45" s="439"/>
      <c r="AC45" s="439"/>
      <c r="AD45" s="439"/>
      <c r="AE45" s="439"/>
      <c r="AF45" s="439"/>
      <c r="AG45" s="439"/>
      <c r="AH45" s="439"/>
      <c r="AI45" s="439"/>
      <c r="AJ45" s="439"/>
      <c r="AK45" s="439"/>
      <c r="AL45" s="439"/>
      <c r="AM45" s="439"/>
      <c r="AN45" s="439"/>
      <c r="AO45" s="439"/>
      <c r="AP45" s="439"/>
      <c r="AQ45" s="439"/>
    </row>
    <row r="46" spans="6:43" x14ac:dyDescent="0.3">
      <c r="F46" s="348" t="s">
        <v>126</v>
      </c>
      <c r="G46" s="349" t="b">
        <v>1</v>
      </c>
      <c r="H46" s="439"/>
      <c r="I46" s="439"/>
      <c r="J46" s="439"/>
      <c r="K46" s="439"/>
      <c r="L46" s="439"/>
      <c r="M46" s="439"/>
      <c r="N46" s="439"/>
      <c r="O46" s="439"/>
      <c r="P46" s="439"/>
      <c r="Q46" s="439"/>
      <c r="R46" s="439"/>
      <c r="S46" s="439"/>
      <c r="T46" s="31"/>
      <c r="U46" s="31"/>
      <c r="V46" s="31"/>
      <c r="W46" s="439"/>
      <c r="X46" s="439"/>
      <c r="Z46" s="439"/>
      <c r="AA46" s="439"/>
      <c r="AB46" s="439"/>
      <c r="AC46" s="439"/>
      <c r="AD46" s="439"/>
      <c r="AE46" s="439"/>
      <c r="AF46" s="439"/>
      <c r="AG46" s="439"/>
      <c r="AH46" s="439"/>
      <c r="AI46" s="439"/>
      <c r="AJ46" s="439"/>
      <c r="AK46" s="439"/>
      <c r="AL46" s="439"/>
      <c r="AM46" s="439"/>
      <c r="AN46" s="439"/>
      <c r="AO46" s="439"/>
      <c r="AP46" s="439"/>
      <c r="AQ46" s="439"/>
    </row>
    <row r="47" spans="6:43" x14ac:dyDescent="0.3">
      <c r="F47" s="439"/>
      <c r="G47" s="439"/>
      <c r="H47" s="439"/>
      <c r="I47" s="439"/>
      <c r="J47" s="439"/>
      <c r="K47" s="439"/>
      <c r="L47" s="439"/>
      <c r="M47" s="439"/>
      <c r="N47" s="439"/>
      <c r="O47" s="439"/>
      <c r="P47" s="439"/>
      <c r="Q47" s="439"/>
      <c r="R47" s="439"/>
      <c r="S47" s="439"/>
      <c r="T47" s="31"/>
      <c r="U47" s="31"/>
      <c r="V47" s="31"/>
      <c r="W47" s="439"/>
      <c r="X47" s="439"/>
      <c r="Z47" s="439"/>
      <c r="AA47" s="439"/>
      <c r="AB47" s="439"/>
      <c r="AC47" s="439"/>
      <c r="AD47" s="439"/>
      <c r="AE47" s="439"/>
      <c r="AF47" s="439"/>
      <c r="AG47" s="439"/>
      <c r="AH47" s="439"/>
      <c r="AI47" s="439"/>
      <c r="AJ47" s="439"/>
      <c r="AK47" s="439"/>
      <c r="AL47" s="439"/>
      <c r="AM47" s="439"/>
      <c r="AN47" s="439"/>
      <c r="AO47" s="439"/>
      <c r="AP47" s="439"/>
      <c r="AQ47" s="439"/>
    </row>
    <row r="48" spans="6:43" x14ac:dyDescent="0.3">
      <c r="F48" s="439"/>
      <c r="G48" s="439"/>
      <c r="H48" s="439"/>
      <c r="I48" s="439"/>
      <c r="J48" s="439"/>
      <c r="K48" s="439"/>
      <c r="L48" s="439"/>
      <c r="M48" s="439"/>
      <c r="N48" s="439"/>
      <c r="O48" s="439"/>
      <c r="P48" s="439"/>
      <c r="Q48" s="439"/>
      <c r="R48" s="439"/>
      <c r="S48" s="439"/>
      <c r="T48" s="31"/>
      <c r="U48" s="31"/>
      <c r="V48" s="31"/>
      <c r="W48" s="439"/>
      <c r="X48" s="439"/>
      <c r="Z48" s="439"/>
      <c r="AA48" s="439"/>
      <c r="AB48" s="439"/>
      <c r="AC48" s="439"/>
      <c r="AD48" s="439"/>
      <c r="AE48" s="439"/>
      <c r="AF48" s="439"/>
      <c r="AG48" s="439"/>
      <c r="AH48" s="439"/>
      <c r="AI48" s="439"/>
      <c r="AJ48" s="439"/>
      <c r="AK48" s="439"/>
      <c r="AL48" s="439"/>
      <c r="AM48" s="439"/>
      <c r="AN48" s="618" t="s">
        <v>411</v>
      </c>
      <c r="AO48" s="618"/>
      <c r="AP48" s="618"/>
      <c r="AQ48" s="348">
        <v>16</v>
      </c>
    </row>
    <row r="49" spans="5:44" x14ac:dyDescent="0.3">
      <c r="E49" s="439"/>
      <c r="F49" s="439"/>
      <c r="G49" s="439"/>
      <c r="H49" s="439"/>
      <c r="I49" s="439"/>
      <c r="J49" s="439"/>
      <c r="K49" s="439"/>
      <c r="L49" s="439"/>
      <c r="M49" s="439"/>
      <c r="N49" s="439"/>
      <c r="O49" s="439"/>
      <c r="P49" s="439"/>
      <c r="Q49" s="439"/>
      <c r="R49" s="439"/>
      <c r="S49" s="439"/>
      <c r="T49" s="439"/>
      <c r="U49" s="439"/>
      <c r="V49" s="439"/>
      <c r="W49" s="439"/>
      <c r="X49" s="439"/>
      <c r="Z49" s="439"/>
      <c r="AA49" s="439"/>
      <c r="AB49" s="439"/>
      <c r="AC49" s="439"/>
      <c r="AD49" s="439"/>
      <c r="AE49" s="439"/>
      <c r="AF49" s="439"/>
      <c r="AG49" s="439"/>
      <c r="AH49" s="439"/>
      <c r="AI49" s="439"/>
      <c r="AJ49" s="439"/>
      <c r="AK49" s="439"/>
      <c r="AL49" s="439"/>
      <c r="AM49" s="439"/>
      <c r="AN49" s="618" t="s">
        <v>412</v>
      </c>
      <c r="AO49" s="618"/>
      <c r="AP49" s="618"/>
      <c r="AQ49" s="348">
        <v>8</v>
      </c>
      <c r="AR49" s="439"/>
    </row>
    <row r="50" spans="5:44" x14ac:dyDescent="0.3">
      <c r="E50" s="439"/>
      <c r="F50" s="348" t="s">
        <v>425</v>
      </c>
      <c r="G50" s="348" t="s">
        <v>426</v>
      </c>
      <c r="H50" s="348" t="s">
        <v>39</v>
      </c>
      <c r="I50" s="348" t="s">
        <v>40</v>
      </c>
      <c r="J50" s="439"/>
      <c r="K50" s="439"/>
      <c r="L50" s="439"/>
      <c r="M50" s="439"/>
      <c r="N50" s="439"/>
      <c r="O50" s="439"/>
      <c r="P50" s="439"/>
      <c r="Q50" s="439"/>
      <c r="R50" s="439"/>
      <c r="S50" s="439"/>
      <c r="T50" s="439"/>
      <c r="U50" s="439"/>
      <c r="V50" s="439"/>
      <c r="W50" s="439"/>
      <c r="X50" s="439"/>
      <c r="Z50" s="439"/>
      <c r="AA50" s="439"/>
      <c r="AB50" s="439"/>
      <c r="AC50" s="439"/>
      <c r="AD50" s="439"/>
      <c r="AE50" s="439"/>
      <c r="AF50" s="439"/>
      <c r="AG50" s="439"/>
      <c r="AH50" s="439"/>
      <c r="AI50" s="439"/>
      <c r="AJ50" s="439"/>
      <c r="AK50" s="439"/>
      <c r="AL50" s="439"/>
      <c r="AM50" s="439"/>
      <c r="AN50" s="439"/>
      <c r="AO50" s="439"/>
      <c r="AP50" s="439"/>
      <c r="AQ50" s="439"/>
      <c r="AR50" s="439"/>
    </row>
    <row r="51" spans="5:44" x14ac:dyDescent="0.3">
      <c r="E51" s="439"/>
      <c r="F51" s="348" t="s">
        <v>427</v>
      </c>
      <c r="G51" s="348"/>
      <c r="H51" s="348"/>
      <c r="I51" s="446"/>
      <c r="J51" s="439"/>
      <c r="K51" s="439"/>
      <c r="L51" s="439"/>
      <c r="M51" s="439"/>
      <c r="N51" s="439"/>
      <c r="O51" s="439"/>
      <c r="P51" s="439"/>
      <c r="Q51" s="439"/>
      <c r="R51" s="439"/>
      <c r="S51" s="439"/>
      <c r="T51" s="439"/>
      <c r="U51" s="439"/>
      <c r="V51" s="439"/>
      <c r="W51" s="439"/>
      <c r="X51" s="439"/>
      <c r="Z51" s="439"/>
      <c r="AA51" s="439"/>
      <c r="AB51" s="439"/>
      <c r="AC51" s="439"/>
      <c r="AD51" s="439"/>
      <c r="AE51" s="439"/>
      <c r="AF51" s="439"/>
      <c r="AG51" s="439"/>
      <c r="AH51" s="439"/>
      <c r="AI51" s="439"/>
      <c r="AJ51" s="439"/>
      <c r="AK51" s="439"/>
      <c r="AL51" s="439"/>
      <c r="AM51" s="439"/>
      <c r="AN51" s="439"/>
      <c r="AO51" s="439"/>
      <c r="AP51" s="439"/>
      <c r="AQ51" s="439"/>
      <c r="AR51" s="439"/>
    </row>
    <row r="52" spans="5:44" x14ac:dyDescent="0.3">
      <c r="E52" s="439"/>
      <c r="F52" s="348" t="s">
        <v>53</v>
      </c>
      <c r="G52" s="348"/>
      <c r="H52" s="348"/>
      <c r="I52" s="348"/>
      <c r="J52" s="439"/>
      <c r="K52" s="439"/>
      <c r="L52" s="439"/>
      <c r="M52" s="439"/>
      <c r="N52" s="439"/>
      <c r="O52" s="439"/>
      <c r="P52" s="439"/>
      <c r="Q52" s="439"/>
      <c r="R52" s="439"/>
      <c r="S52" s="439"/>
      <c r="T52" s="439"/>
      <c r="U52" s="439"/>
      <c r="V52" s="439"/>
      <c r="W52" s="439"/>
      <c r="X52" s="439"/>
      <c r="Z52" s="439"/>
      <c r="AA52" s="439"/>
      <c r="AB52" s="439"/>
      <c r="AC52" s="439"/>
      <c r="AD52" s="439"/>
      <c r="AE52" s="439"/>
      <c r="AF52" s="439"/>
      <c r="AG52" s="439"/>
      <c r="AH52" s="439"/>
      <c r="AI52" s="439"/>
      <c r="AJ52" s="439"/>
      <c r="AK52" s="439"/>
      <c r="AL52" s="439"/>
      <c r="AM52" s="439"/>
      <c r="AN52" s="439"/>
      <c r="AO52" s="439"/>
      <c r="AP52" s="439"/>
      <c r="AQ52" s="439"/>
      <c r="AR52" s="439"/>
    </row>
    <row r="53" spans="5:44" x14ac:dyDescent="0.3">
      <c r="E53" s="439"/>
      <c r="F53" s="31"/>
      <c r="G53" s="31"/>
      <c r="H53" s="31"/>
      <c r="I53" s="31"/>
      <c r="J53" s="31"/>
      <c r="K53" s="31"/>
      <c r="L53" s="31"/>
      <c r="M53" s="31"/>
      <c r="N53" s="31"/>
      <c r="O53" s="439"/>
      <c r="P53" s="439"/>
      <c r="Q53" s="439"/>
      <c r="R53" s="439"/>
      <c r="S53" s="439"/>
      <c r="T53" s="439"/>
      <c r="U53" s="439"/>
      <c r="V53" s="439"/>
      <c r="W53" s="439"/>
      <c r="X53" s="439"/>
      <c r="Z53" s="439"/>
      <c r="AA53" s="439"/>
      <c r="AB53" s="439"/>
      <c r="AC53" s="439"/>
      <c r="AD53" s="439"/>
      <c r="AE53" s="439"/>
      <c r="AF53" s="439"/>
      <c r="AG53" s="439"/>
      <c r="AH53" s="439"/>
      <c r="AI53" s="439"/>
      <c r="AJ53" s="439"/>
      <c r="AK53" s="439"/>
      <c r="AL53" s="439"/>
      <c r="AM53" s="439"/>
      <c r="AN53" s="439"/>
      <c r="AO53" s="439"/>
      <c r="AP53" s="439"/>
      <c r="AQ53" s="439"/>
      <c r="AR53" s="439"/>
    </row>
    <row r="54" spans="5:44" x14ac:dyDescent="0.3">
      <c r="E54" s="439"/>
      <c r="F54" s="31"/>
      <c r="G54" s="31"/>
      <c r="H54" s="31"/>
      <c r="I54" s="31"/>
      <c r="J54" s="31"/>
      <c r="K54" s="31"/>
      <c r="L54" s="31"/>
      <c r="M54" s="31"/>
      <c r="N54" s="31"/>
      <c r="O54" s="439"/>
      <c r="P54" s="439"/>
      <c r="Q54" s="439"/>
      <c r="R54" s="439"/>
      <c r="S54" s="439"/>
      <c r="T54" s="439"/>
      <c r="U54" s="439"/>
      <c r="V54" s="439"/>
      <c r="W54" s="439"/>
      <c r="X54" s="439"/>
      <c r="Z54" s="439"/>
      <c r="AA54" s="439"/>
      <c r="AB54" s="439"/>
      <c r="AC54" s="439"/>
      <c r="AD54" s="439"/>
      <c r="AE54" s="439"/>
      <c r="AF54" s="439"/>
      <c r="AG54" s="439"/>
      <c r="AH54" s="439"/>
      <c r="AI54" s="439"/>
      <c r="AJ54" s="439"/>
      <c r="AK54" s="439"/>
      <c r="AL54" s="439"/>
      <c r="AM54" s="439"/>
      <c r="AN54" s="439"/>
      <c r="AO54" s="439"/>
      <c r="AP54" s="439"/>
      <c r="AQ54" s="439"/>
      <c r="AR54" s="439"/>
    </row>
    <row r="55" spans="5:44" x14ac:dyDescent="0.3">
      <c r="E55" s="439"/>
      <c r="F55" s="439"/>
      <c r="G55" s="439"/>
      <c r="H55" s="439"/>
      <c r="I55" s="439"/>
      <c r="J55" s="439"/>
      <c r="K55" s="439"/>
      <c r="L55" s="439"/>
      <c r="M55" s="31"/>
      <c r="N55" s="31"/>
      <c r="O55" s="439"/>
      <c r="P55" s="439"/>
      <c r="Q55" s="439"/>
      <c r="R55" s="439"/>
      <c r="S55" s="439"/>
      <c r="T55" s="439"/>
      <c r="U55" s="439"/>
      <c r="V55" s="439"/>
      <c r="W55" s="439"/>
      <c r="X55" s="439"/>
      <c r="Z55" s="439"/>
      <c r="AA55" s="439"/>
      <c r="AB55" s="439"/>
      <c r="AC55" s="439"/>
      <c r="AD55" s="439"/>
      <c r="AE55" s="439"/>
      <c r="AF55" s="439"/>
      <c r="AG55" s="439"/>
      <c r="AH55" s="439"/>
      <c r="AI55" s="439"/>
      <c r="AJ55" s="439"/>
      <c r="AK55" s="439"/>
      <c r="AL55" s="439"/>
      <c r="AM55" s="439"/>
      <c r="AN55" s="439"/>
      <c r="AO55" s="439"/>
      <c r="AP55" s="439"/>
      <c r="AQ55" s="439"/>
      <c r="AR55" s="439"/>
    </row>
    <row r="56" spans="5:44" x14ac:dyDescent="0.3">
      <c r="E56" s="439"/>
      <c r="F56" s="439"/>
      <c r="G56" s="439"/>
      <c r="H56" s="439"/>
      <c r="I56" s="439"/>
      <c r="J56" s="439"/>
      <c r="K56" s="439"/>
      <c r="L56" s="439"/>
      <c r="M56" s="31"/>
      <c r="N56" s="31"/>
      <c r="O56" s="439"/>
      <c r="P56" s="439"/>
      <c r="Q56" s="439"/>
      <c r="R56" s="439"/>
      <c r="S56" s="439"/>
      <c r="T56" s="439"/>
      <c r="U56" s="439"/>
      <c r="V56" s="439"/>
      <c r="W56" s="439"/>
      <c r="X56" s="439"/>
      <c r="Z56" s="439"/>
      <c r="AA56" s="439"/>
      <c r="AB56" s="439"/>
      <c r="AC56" s="439"/>
      <c r="AD56" s="439"/>
      <c r="AE56" s="439"/>
      <c r="AF56" s="439"/>
      <c r="AG56" s="439"/>
      <c r="AH56" s="439"/>
      <c r="AI56" s="439"/>
      <c r="AJ56" s="439"/>
      <c r="AK56" s="439"/>
      <c r="AL56" s="439"/>
      <c r="AM56" s="439"/>
      <c r="AN56" s="439"/>
      <c r="AO56" s="439"/>
      <c r="AP56" s="439"/>
      <c r="AQ56" s="439"/>
      <c r="AR56" s="439"/>
    </row>
    <row r="57" spans="5:44" x14ac:dyDescent="0.3">
      <c r="E57" s="439"/>
      <c r="F57" s="302" t="s">
        <v>428</v>
      </c>
      <c r="G57" s="302">
        <v>1</v>
      </c>
      <c r="H57" s="439"/>
      <c r="I57" s="348" t="s">
        <v>429</v>
      </c>
      <c r="J57" s="439"/>
      <c r="K57" s="439"/>
      <c r="L57" s="439"/>
      <c r="M57" s="31"/>
      <c r="N57" s="31"/>
      <c r="O57" s="439"/>
      <c r="P57" s="439"/>
      <c r="Q57" s="439"/>
      <c r="R57" s="439"/>
      <c r="S57" s="439"/>
      <c r="T57" s="439"/>
      <c r="U57" s="439"/>
      <c r="V57" s="439"/>
      <c r="W57" s="439"/>
      <c r="X57" s="439"/>
      <c r="Z57" s="439"/>
      <c r="AA57" s="439"/>
      <c r="AB57" s="439"/>
      <c r="AC57" s="439"/>
      <c r="AD57" s="439"/>
      <c r="AE57" s="439"/>
      <c r="AF57" s="439"/>
      <c r="AG57" s="439"/>
      <c r="AH57" s="439"/>
      <c r="AI57" s="439"/>
      <c r="AJ57" s="439"/>
      <c r="AK57" s="439"/>
      <c r="AL57" s="439"/>
      <c r="AM57" s="439"/>
      <c r="AN57" s="439"/>
      <c r="AO57" s="439"/>
      <c r="AP57" s="439"/>
      <c r="AQ57" s="439"/>
      <c r="AR57" s="439"/>
    </row>
    <row r="58" spans="5:44" x14ac:dyDescent="0.3">
      <c r="E58" s="439"/>
      <c r="F58" s="348" t="s">
        <v>426</v>
      </c>
      <c r="G58" s="348" t="str">
        <f>IF($G$57=1,"Unhide","Hide")</f>
        <v>Unhide</v>
      </c>
      <c r="H58" s="439"/>
      <c r="I58" s="348" t="s">
        <v>430</v>
      </c>
      <c r="J58" s="348" t="str">
        <f>LEFT(ToggleValue,LEN(ToggleValue)-2)</f>
        <v>Month</v>
      </c>
      <c r="K58" s="439"/>
      <c r="L58" s="439"/>
      <c r="M58" s="31"/>
      <c r="N58" s="31"/>
      <c r="O58" s="439"/>
      <c r="P58" s="439"/>
      <c r="Q58" s="439"/>
      <c r="R58" s="439"/>
      <c r="S58" s="439"/>
      <c r="T58" s="439"/>
      <c r="U58" s="439"/>
      <c r="V58" s="439"/>
      <c r="W58" s="439"/>
      <c r="X58" s="439"/>
      <c r="Z58" s="439"/>
      <c r="AA58" s="439"/>
      <c r="AB58" s="439"/>
      <c r="AC58" s="439"/>
      <c r="AD58" s="439"/>
      <c r="AE58" s="439"/>
      <c r="AF58" s="439"/>
      <c r="AG58" s="439"/>
      <c r="AH58" s="439"/>
      <c r="AI58" s="439"/>
      <c r="AJ58" s="439"/>
      <c r="AK58" s="439"/>
      <c r="AL58" s="439"/>
      <c r="AM58" s="439"/>
      <c r="AN58" s="439"/>
      <c r="AO58" s="439"/>
      <c r="AP58" s="439"/>
      <c r="AQ58" s="439"/>
      <c r="AR58" s="439"/>
    </row>
    <row r="59" spans="5:44" ht="15" thickBot="1" x14ac:dyDescent="0.35">
      <c r="E59" s="439"/>
      <c r="F59" s="348" t="s">
        <v>431</v>
      </c>
      <c r="G59" s="348" t="str">
        <f>IF($G$57=2,"Unhide","Hide")</f>
        <v>Hide</v>
      </c>
      <c r="H59" s="439"/>
      <c r="I59" s="439"/>
      <c r="J59" s="439"/>
      <c r="K59" s="439"/>
      <c r="L59" s="439"/>
      <c r="M59" s="31"/>
      <c r="N59" s="31"/>
      <c r="O59" s="439"/>
      <c r="P59" s="439"/>
      <c r="Q59" s="439"/>
      <c r="R59" s="439"/>
      <c r="S59" s="439"/>
      <c r="T59" s="439"/>
      <c r="U59" s="439"/>
      <c r="V59" s="439"/>
      <c r="W59" s="439"/>
      <c r="X59" s="439"/>
      <c r="Z59" s="439"/>
      <c r="AA59" s="439"/>
      <c r="AB59" s="439"/>
      <c r="AC59" s="439"/>
      <c r="AD59" s="439"/>
      <c r="AE59" s="439"/>
      <c r="AF59" s="439"/>
      <c r="AG59" s="439"/>
      <c r="AH59" s="439"/>
      <c r="AI59" s="439"/>
      <c r="AJ59" s="439"/>
      <c r="AK59" s="439"/>
      <c r="AL59" s="439"/>
      <c r="AM59" s="439"/>
      <c r="AN59" s="439"/>
      <c r="AO59" s="439"/>
      <c r="AP59" s="439"/>
      <c r="AQ59" s="439"/>
      <c r="AR59" s="439"/>
    </row>
    <row r="60" spans="5:44" ht="15" thickBot="1" x14ac:dyDescent="0.35">
      <c r="E60" s="439"/>
      <c r="F60" s="439"/>
      <c r="G60" s="439"/>
      <c r="H60" s="439"/>
      <c r="I60" s="439"/>
      <c r="J60" s="439"/>
      <c r="K60" s="439"/>
      <c r="L60" s="439"/>
      <c r="M60" s="31"/>
      <c r="N60" s="31"/>
      <c r="O60" s="439"/>
      <c r="P60" s="439"/>
      <c r="Q60" s="439"/>
      <c r="R60" s="439"/>
      <c r="S60" s="439"/>
      <c r="T60" s="439"/>
      <c r="U60" s="439"/>
      <c r="V60" s="439"/>
      <c r="W60" s="439"/>
      <c r="X60" s="439"/>
      <c r="Z60" s="439"/>
      <c r="AA60" s="439"/>
      <c r="AB60" s="439"/>
      <c r="AC60" s="439"/>
      <c r="AD60" s="439"/>
      <c r="AE60" s="439"/>
      <c r="AF60" s="439"/>
      <c r="AG60" s="439"/>
      <c r="AH60" s="439"/>
      <c r="AI60" s="439"/>
      <c r="AJ60" s="439"/>
      <c r="AK60" s="439"/>
      <c r="AL60" s="439"/>
      <c r="AM60" s="439"/>
      <c r="AN60" s="474" t="s">
        <v>432</v>
      </c>
      <c r="AO60" s="475"/>
      <c r="AP60" s="476"/>
      <c r="AQ60" s="478" t="s">
        <v>433</v>
      </c>
      <c r="AR60" s="478" t="s">
        <v>322</v>
      </c>
    </row>
    <row r="61" spans="5:44" x14ac:dyDescent="0.3">
      <c r="E61" s="439"/>
      <c r="F61" s="439"/>
      <c r="G61" s="439"/>
      <c r="H61" s="439"/>
      <c r="I61" s="439"/>
      <c r="J61" s="439"/>
      <c r="K61" s="439"/>
      <c r="L61" s="439"/>
      <c r="M61" s="31"/>
      <c r="N61" s="31"/>
      <c r="O61" s="439"/>
      <c r="P61" s="439"/>
      <c r="Q61" s="439"/>
      <c r="R61" s="439"/>
      <c r="S61" s="439"/>
      <c r="T61" s="439"/>
      <c r="U61" s="439"/>
      <c r="V61" s="439"/>
      <c r="W61" s="439"/>
      <c r="X61" s="439"/>
      <c r="Z61" s="439"/>
      <c r="AA61" s="439"/>
      <c r="AB61" s="439"/>
      <c r="AC61" s="439"/>
      <c r="AD61" s="439"/>
      <c r="AE61" s="439"/>
      <c r="AF61" s="439"/>
      <c r="AG61" s="439"/>
      <c r="AH61" s="439"/>
      <c r="AI61" s="439"/>
      <c r="AJ61" s="439"/>
      <c r="AK61" s="439"/>
      <c r="AL61" s="439"/>
      <c r="AM61" s="439"/>
      <c r="AN61" s="474" t="s">
        <v>434</v>
      </c>
      <c r="AO61" s="475" t="s">
        <v>435</v>
      </c>
      <c r="AP61" s="475" t="s">
        <v>436</v>
      </c>
      <c r="AQ61" s="478">
        <f>104/10000</f>
        <v>1.04E-2</v>
      </c>
      <c r="AR61" s="478">
        <f>AQ61/60</f>
        <v>1.7333333333333334E-4</v>
      </c>
    </row>
    <row r="62" spans="5:44" x14ac:dyDescent="0.3">
      <c r="E62" s="439"/>
      <c r="F62" s="302" t="s">
        <v>437</v>
      </c>
      <c r="G62" s="439"/>
      <c r="H62" s="439"/>
      <c r="I62" s="439"/>
      <c r="J62" s="439"/>
      <c r="K62" s="439"/>
      <c r="L62" s="439"/>
      <c r="M62" s="31"/>
      <c r="N62" s="31"/>
      <c r="O62" s="439"/>
      <c r="P62" s="439"/>
      <c r="Q62" s="439"/>
      <c r="R62" s="439"/>
      <c r="S62" s="439"/>
      <c r="T62" s="439"/>
      <c r="U62" s="439"/>
      <c r="V62" s="439"/>
      <c r="W62" s="439"/>
      <c r="X62" s="439"/>
      <c r="Z62" s="439"/>
      <c r="AA62" s="439"/>
      <c r="AB62" s="439"/>
      <c r="AC62" s="439"/>
      <c r="AD62" s="439"/>
      <c r="AE62" s="439"/>
      <c r="AF62" s="439"/>
      <c r="AG62" s="439"/>
      <c r="AH62" s="439"/>
      <c r="AI62" s="439"/>
      <c r="AJ62" s="439"/>
      <c r="AK62" s="439"/>
      <c r="AL62" s="439"/>
      <c r="AM62" s="439"/>
      <c r="AN62" s="440"/>
      <c r="AO62" s="439" t="s">
        <v>438</v>
      </c>
      <c r="AP62" s="439" t="s">
        <v>439</v>
      </c>
      <c r="AQ62" s="479">
        <f>1626/10000</f>
        <v>0.16259999999999999</v>
      </c>
      <c r="AR62" s="479">
        <f t="shared" ref="AR62:AR68" si="10">AQ62/60</f>
        <v>2.7099999999999997E-3</v>
      </c>
    </row>
    <row r="63" spans="5:44" x14ac:dyDescent="0.3">
      <c r="E63" s="439"/>
      <c r="F63" s="465" t="b">
        <v>1</v>
      </c>
      <c r="G63" s="439"/>
      <c r="H63" s="439"/>
      <c r="I63" s="439"/>
      <c r="J63" s="439"/>
      <c r="K63" s="439"/>
      <c r="L63" s="439"/>
      <c r="M63" s="31"/>
      <c r="N63" s="31"/>
      <c r="O63" s="439"/>
      <c r="P63" s="439"/>
      <c r="Q63" s="439"/>
      <c r="R63" s="439"/>
      <c r="S63" s="439"/>
      <c r="T63" s="439"/>
      <c r="U63" s="439"/>
      <c r="V63" s="439"/>
      <c r="W63" s="439"/>
      <c r="X63" s="439"/>
      <c r="Z63" s="439"/>
      <c r="AA63" s="439"/>
      <c r="AB63" s="439"/>
      <c r="AC63" s="439"/>
      <c r="AD63" s="439"/>
      <c r="AE63" s="439"/>
      <c r="AF63" s="439"/>
      <c r="AG63" s="439"/>
      <c r="AH63" s="439"/>
      <c r="AI63" s="439"/>
      <c r="AJ63" s="439"/>
      <c r="AK63" s="439"/>
      <c r="AL63" s="439"/>
      <c r="AM63" s="439"/>
      <c r="AN63" s="440"/>
      <c r="AO63" s="439" t="s">
        <v>440</v>
      </c>
      <c r="AP63" s="439" t="s">
        <v>441</v>
      </c>
      <c r="AQ63" s="479">
        <v>0.16259999999999999</v>
      </c>
      <c r="AR63" s="479">
        <f t="shared" si="10"/>
        <v>2.7099999999999997E-3</v>
      </c>
    </row>
    <row r="64" spans="5:44" ht="15" thickBot="1" x14ac:dyDescent="0.35">
      <c r="E64" s="439"/>
      <c r="F64" s="465">
        <f>IF(F63,1,0)</f>
        <v>1</v>
      </c>
      <c r="G64" s="439"/>
      <c r="H64" s="439"/>
      <c r="I64" s="439"/>
      <c r="J64" s="439"/>
      <c r="K64" s="439"/>
      <c r="L64" s="439"/>
      <c r="M64" s="31"/>
      <c r="N64" s="31"/>
      <c r="O64" s="439"/>
      <c r="P64" s="439"/>
      <c r="Q64" s="439"/>
      <c r="R64" s="439"/>
      <c r="S64" s="439"/>
      <c r="T64" s="439"/>
      <c r="U64" s="439"/>
      <c r="V64" s="439"/>
      <c r="W64" s="439"/>
      <c r="X64" s="439"/>
      <c r="Z64" s="439"/>
      <c r="AA64" s="439"/>
      <c r="AB64" s="439"/>
      <c r="AC64" s="439"/>
      <c r="AD64" s="439"/>
      <c r="AE64" s="439"/>
      <c r="AF64" s="439"/>
      <c r="AG64" s="439"/>
      <c r="AH64" s="439"/>
      <c r="AI64" s="439"/>
      <c r="AJ64" s="439"/>
      <c r="AK64" s="439"/>
      <c r="AL64" s="439"/>
      <c r="AM64" s="439"/>
      <c r="AN64" s="443"/>
      <c r="AO64" s="477" t="s">
        <v>442</v>
      </c>
      <c r="AP64" s="477" t="s">
        <v>443</v>
      </c>
      <c r="AQ64" s="480">
        <v>1.3</v>
      </c>
      <c r="AR64" s="480">
        <f t="shared" si="10"/>
        <v>2.1666666666666667E-2</v>
      </c>
    </row>
    <row r="65" spans="5:44" x14ac:dyDescent="0.3">
      <c r="E65" s="439"/>
      <c r="F65" s="439"/>
      <c r="G65" s="439"/>
      <c r="H65" s="439"/>
      <c r="I65" s="439"/>
      <c r="J65" s="439"/>
      <c r="K65" s="439"/>
      <c r="L65" s="439"/>
      <c r="M65" s="31"/>
      <c r="N65" s="31"/>
      <c r="O65" s="439"/>
      <c r="P65" s="439"/>
      <c r="Q65" s="439"/>
      <c r="R65" s="439"/>
      <c r="S65" s="439"/>
      <c r="T65" s="439"/>
      <c r="U65" s="439"/>
      <c r="V65" s="439"/>
      <c r="W65" s="439"/>
      <c r="X65" s="439"/>
      <c r="Z65" s="439"/>
      <c r="AA65" s="439"/>
      <c r="AB65" s="439"/>
      <c r="AC65" s="439"/>
      <c r="AD65" s="439"/>
      <c r="AE65" s="439"/>
      <c r="AF65" s="439"/>
      <c r="AG65" s="439"/>
      <c r="AH65" s="439"/>
      <c r="AI65" s="439"/>
      <c r="AJ65" s="439"/>
      <c r="AK65" s="439"/>
      <c r="AL65" s="439"/>
      <c r="AM65" s="439"/>
      <c r="AN65" s="440" t="s">
        <v>444</v>
      </c>
      <c r="AO65" s="439" t="s">
        <v>445</v>
      </c>
      <c r="AP65" s="439" t="s">
        <v>446</v>
      </c>
      <c r="AQ65" s="479">
        <f>306/10000</f>
        <v>3.0599999999999999E-2</v>
      </c>
      <c r="AR65" s="479">
        <f t="shared" si="10"/>
        <v>5.0999999999999993E-4</v>
      </c>
    </row>
    <row r="66" spans="5:44" x14ac:dyDescent="0.3">
      <c r="E66" s="439"/>
      <c r="F66" s="466" t="s">
        <v>447</v>
      </c>
      <c r="G66" s="467" t="b">
        <f>IF(UserInputs!$D$4="Modern Data Warehouse",FALSE,'Fabric Working Model-Avg'!$G$10)</f>
        <v>1</v>
      </c>
      <c r="H66" s="468">
        <f>IF(G66,1,0)</f>
        <v>1</v>
      </c>
      <c r="I66" s="439"/>
      <c r="J66" s="439"/>
      <c r="K66" s="439"/>
      <c r="L66" s="439"/>
      <c r="M66" s="31"/>
      <c r="N66" s="31"/>
      <c r="O66" s="439"/>
      <c r="P66" s="439"/>
      <c r="Q66" s="439"/>
      <c r="R66" s="439"/>
      <c r="S66" s="439"/>
      <c r="T66" s="439"/>
      <c r="U66" s="439"/>
      <c r="V66" s="439"/>
      <c r="W66" s="439"/>
      <c r="X66" s="439"/>
      <c r="Z66" s="439"/>
      <c r="AA66" s="439"/>
      <c r="AB66" s="439"/>
      <c r="AC66" s="439"/>
      <c r="AD66" s="439"/>
      <c r="AE66" s="439"/>
      <c r="AF66" s="439"/>
      <c r="AG66" s="439"/>
      <c r="AH66" s="439"/>
      <c r="AI66" s="439"/>
      <c r="AJ66" s="439"/>
      <c r="AK66" s="439"/>
      <c r="AL66" s="439"/>
      <c r="AM66" s="439"/>
      <c r="AN66" s="440"/>
      <c r="AO66" s="439" t="s">
        <v>448</v>
      </c>
      <c r="AP66" s="439" t="s">
        <v>449</v>
      </c>
      <c r="AQ66" s="479">
        <f>2650/10000</f>
        <v>0.26500000000000001</v>
      </c>
      <c r="AR66" s="479">
        <f t="shared" si="10"/>
        <v>4.4166666666666668E-3</v>
      </c>
    </row>
    <row r="67" spans="5:44" x14ac:dyDescent="0.3">
      <c r="E67" s="439"/>
      <c r="F67" s="466" t="s">
        <v>40</v>
      </c>
      <c r="G67" s="467" t="b">
        <f>IF(UserInputs!$D$4="Modern Data Warehouse",FALSE,'Fabric Working Model-Lean'!$G$10)</f>
        <v>1</v>
      </c>
      <c r="H67" s="468">
        <f t="shared" ref="H67:H68" si="11">IF(G67,1,0)</f>
        <v>1</v>
      </c>
      <c r="I67" s="439"/>
      <c r="J67" s="439"/>
      <c r="K67" s="439"/>
      <c r="L67" s="439"/>
      <c r="M67" s="31"/>
      <c r="N67" s="31"/>
      <c r="O67" s="439"/>
      <c r="P67" s="439"/>
      <c r="Q67" s="439"/>
      <c r="R67" s="439"/>
      <c r="S67" s="439"/>
      <c r="T67" s="439"/>
      <c r="U67" s="439"/>
      <c r="V67" s="439"/>
      <c r="W67" s="439"/>
      <c r="X67" s="439"/>
      <c r="Z67" s="439"/>
      <c r="AA67" s="439"/>
      <c r="AB67" s="439"/>
      <c r="AC67" s="439"/>
      <c r="AD67" s="439"/>
      <c r="AE67" s="439"/>
      <c r="AF67" s="439"/>
      <c r="AG67" s="439"/>
      <c r="AH67" s="439"/>
      <c r="AI67" s="439"/>
      <c r="AJ67" s="439"/>
      <c r="AK67" s="439"/>
      <c r="AL67" s="439"/>
      <c r="AM67" s="439"/>
      <c r="AN67" s="440"/>
      <c r="AO67" s="439" t="s">
        <v>450</v>
      </c>
      <c r="AP67" s="439" t="s">
        <v>451</v>
      </c>
      <c r="AQ67" s="479">
        <v>0.4798</v>
      </c>
      <c r="AR67" s="479">
        <f t="shared" si="10"/>
        <v>7.9966666666666675E-3</v>
      </c>
    </row>
    <row r="68" spans="5:44" ht="15" thickBot="1" x14ac:dyDescent="0.35">
      <c r="E68" s="439"/>
      <c r="F68" s="466" t="s">
        <v>39</v>
      </c>
      <c r="G68" s="467" t="b">
        <f>IF(UserInputs!$D$4="Modern Data Warehouse",FALSE,'Fabric Working Model-Peak'!$G$10)</f>
        <v>1</v>
      </c>
      <c r="H68" s="468">
        <f t="shared" si="11"/>
        <v>1</v>
      </c>
      <c r="I68" s="439"/>
      <c r="J68" s="439"/>
      <c r="K68" s="439"/>
      <c r="L68" s="439"/>
      <c r="M68" s="31"/>
      <c r="N68" s="31"/>
      <c r="O68" s="439"/>
      <c r="P68" s="439"/>
      <c r="Q68" s="439"/>
      <c r="R68" s="439"/>
      <c r="S68" s="439"/>
      <c r="T68" s="439"/>
      <c r="U68" s="439"/>
      <c r="V68" s="439"/>
      <c r="W68" s="439"/>
      <c r="X68" s="439"/>
      <c r="Z68" s="439"/>
      <c r="AA68" s="439"/>
      <c r="AB68" s="439"/>
      <c r="AC68" s="439"/>
      <c r="AD68" s="439"/>
      <c r="AE68" s="439"/>
      <c r="AF68" s="439"/>
      <c r="AG68" s="439"/>
      <c r="AH68" s="439"/>
      <c r="AI68" s="439"/>
      <c r="AJ68" s="439"/>
      <c r="AK68" s="439"/>
      <c r="AL68" s="439"/>
      <c r="AM68" s="439"/>
      <c r="AN68" s="443"/>
      <c r="AO68" s="477" t="s">
        <v>452</v>
      </c>
      <c r="AP68" s="477" t="s">
        <v>453</v>
      </c>
      <c r="AQ68" s="480">
        <v>2.11795</v>
      </c>
      <c r="AR68" s="480">
        <f t="shared" si="10"/>
        <v>3.5299166666666666E-2</v>
      </c>
    </row>
    <row r="69" spans="5:44" x14ac:dyDescent="0.3">
      <c r="E69" s="439"/>
      <c r="F69" s="439"/>
      <c r="G69" s="439"/>
      <c r="H69" s="439"/>
      <c r="I69" s="439"/>
      <c r="J69" s="439"/>
      <c r="K69" s="439"/>
      <c r="L69" s="439"/>
      <c r="M69" s="31"/>
      <c r="N69" s="31"/>
      <c r="O69" s="439"/>
      <c r="P69" s="439"/>
      <c r="Q69" s="439"/>
      <c r="R69" s="439"/>
      <c r="S69" s="439"/>
      <c r="T69" s="439"/>
      <c r="U69" s="439"/>
      <c r="V69" s="439"/>
      <c r="W69" s="439"/>
      <c r="X69" s="439"/>
      <c r="Z69" s="439"/>
      <c r="AA69" s="439"/>
      <c r="AB69" s="439"/>
      <c r="AC69" s="439"/>
      <c r="AD69" s="439"/>
      <c r="AE69" s="439"/>
      <c r="AF69" s="439"/>
      <c r="AG69" s="439"/>
      <c r="AH69" s="439"/>
      <c r="AI69" s="439"/>
      <c r="AJ69" s="439"/>
      <c r="AK69" s="439"/>
      <c r="AL69" s="439"/>
      <c r="AM69" s="439"/>
      <c r="AN69" s="439"/>
      <c r="AO69" s="439"/>
      <c r="AP69" s="439"/>
      <c r="AQ69" s="439"/>
      <c r="AR69" s="439"/>
    </row>
    <row r="70" spans="5:44" x14ac:dyDescent="0.3">
      <c r="E70" s="439"/>
      <c r="F70" s="439"/>
      <c r="G70" s="439"/>
      <c r="H70" s="439"/>
      <c r="I70" s="439"/>
      <c r="J70" s="439"/>
      <c r="K70" s="439"/>
      <c r="L70" s="439"/>
      <c r="M70" s="31"/>
      <c r="N70" s="31"/>
      <c r="O70" s="439"/>
      <c r="P70" s="439"/>
      <c r="Q70" s="439"/>
      <c r="R70" s="439"/>
      <c r="S70" s="439"/>
      <c r="T70" s="439"/>
      <c r="U70" s="439"/>
      <c r="V70" s="439"/>
      <c r="W70" s="439"/>
      <c r="X70" s="439"/>
      <c r="Z70" s="439"/>
      <c r="AA70" s="439"/>
      <c r="AB70" s="439"/>
      <c r="AC70" s="439"/>
      <c r="AD70" s="439"/>
      <c r="AE70" s="439"/>
      <c r="AF70" s="439"/>
      <c r="AG70" s="439"/>
      <c r="AH70" s="439"/>
      <c r="AI70" s="439"/>
      <c r="AJ70" s="439"/>
      <c r="AK70" s="439"/>
      <c r="AL70" s="439"/>
      <c r="AM70" s="439"/>
      <c r="AN70" s="439"/>
      <c r="AO70" s="439"/>
      <c r="AP70" s="439"/>
      <c r="AQ70" s="439"/>
      <c r="AR70" s="439"/>
    </row>
    <row r="71" spans="5:44" x14ac:dyDescent="0.3">
      <c r="E71" s="439"/>
      <c r="F71" s="439"/>
      <c r="G71" s="439"/>
      <c r="H71" s="439"/>
      <c r="I71" s="439"/>
      <c r="J71" s="439"/>
      <c r="K71" s="439"/>
      <c r="L71" s="439"/>
      <c r="M71" s="439"/>
      <c r="N71" s="439"/>
      <c r="O71" s="439"/>
      <c r="P71" s="439"/>
      <c r="Q71" s="439"/>
      <c r="R71" s="439"/>
      <c r="S71" s="439"/>
      <c r="T71" s="439"/>
      <c r="U71" s="439"/>
      <c r="V71" s="439"/>
      <c r="W71" s="439"/>
      <c r="X71" s="439"/>
      <c r="Z71" s="439"/>
      <c r="AA71" s="439"/>
      <c r="AB71" s="439"/>
      <c r="AC71" s="439"/>
      <c r="AD71" s="439"/>
      <c r="AE71" s="439"/>
      <c r="AF71" s="439"/>
      <c r="AG71" s="439"/>
      <c r="AH71" s="439"/>
      <c r="AI71" s="439"/>
      <c r="AJ71" s="439"/>
      <c r="AK71" s="439"/>
      <c r="AL71" s="439"/>
      <c r="AM71" s="439"/>
      <c r="AN71" s="439"/>
      <c r="AO71" s="439"/>
      <c r="AP71" s="439"/>
      <c r="AQ71" s="439"/>
      <c r="AR71" s="439"/>
    </row>
    <row r="72" spans="5:44" x14ac:dyDescent="0.3">
      <c r="E72" s="439"/>
      <c r="F72" s="302" t="s">
        <v>454</v>
      </c>
      <c r="G72" s="439"/>
      <c r="H72" s="348" t="s">
        <v>447</v>
      </c>
      <c r="I72" s="467" t="b">
        <f>IF(UserInputs!$D$4="Data Lakehouse-Spark Only",FALSE,'Fabric Working Model-Avg'!$G$11)</f>
        <v>1</v>
      </c>
      <c r="J72" s="468">
        <f>IF(I72,1,0)</f>
        <v>1</v>
      </c>
      <c r="K72" s="439"/>
      <c r="L72" s="439"/>
      <c r="M72" s="439"/>
      <c r="N72" s="439"/>
      <c r="O72" s="439"/>
      <c r="P72" s="439"/>
      <c r="Q72" s="439"/>
      <c r="R72" s="439"/>
      <c r="S72" s="439"/>
      <c r="T72" s="439"/>
      <c r="U72" s="439"/>
      <c r="V72" s="439"/>
      <c r="W72" s="439"/>
      <c r="X72" s="439"/>
      <c r="Z72" s="439"/>
      <c r="AA72" s="439"/>
      <c r="AB72" s="439"/>
      <c r="AC72" s="439"/>
      <c r="AD72" s="439"/>
      <c r="AE72" s="439"/>
      <c r="AF72" s="439"/>
      <c r="AG72" s="439"/>
      <c r="AH72" s="439"/>
      <c r="AI72" s="439"/>
      <c r="AJ72" s="439"/>
      <c r="AK72" s="439"/>
      <c r="AL72" s="439"/>
      <c r="AM72" s="439"/>
      <c r="AN72" s="439"/>
      <c r="AO72" s="439"/>
      <c r="AP72" s="439"/>
      <c r="AQ72" s="439"/>
      <c r="AR72" s="439"/>
    </row>
    <row r="73" spans="5:44" x14ac:dyDescent="0.3">
      <c r="E73" s="439"/>
      <c r="F73" s="348" t="b">
        <v>1</v>
      </c>
      <c r="G73" s="439"/>
      <c r="H73" s="348" t="s">
        <v>40</v>
      </c>
      <c r="I73" s="467" t="b">
        <f>IF(UserInputs!$D$4="Data Lakehouse-Spark Only",FALSE,'Fabric Working Model-Lean'!$G$11)</f>
        <v>1</v>
      </c>
      <c r="J73" s="468">
        <f t="shared" ref="J73:J74" si="12">IF(I73,1,0)</f>
        <v>1</v>
      </c>
      <c r="K73" s="439"/>
      <c r="L73" s="439"/>
      <c r="M73" s="439"/>
      <c r="N73" s="439"/>
      <c r="O73" s="439"/>
      <c r="P73" s="439"/>
      <c r="Q73" s="439"/>
      <c r="R73" s="439"/>
      <c r="S73" s="439"/>
      <c r="T73" s="439"/>
      <c r="U73" s="439"/>
      <c r="V73" s="439"/>
      <c r="W73" s="439"/>
      <c r="X73" s="439"/>
      <c r="Z73" s="439"/>
      <c r="AA73" s="439"/>
      <c r="AB73" s="439"/>
      <c r="AC73" s="439"/>
      <c r="AD73" s="439"/>
      <c r="AE73" s="439"/>
      <c r="AF73" s="439"/>
      <c r="AG73" s="439"/>
      <c r="AH73" s="439"/>
      <c r="AI73" s="439"/>
      <c r="AJ73" s="439"/>
      <c r="AK73" s="439"/>
      <c r="AL73" s="439"/>
      <c r="AM73" s="439"/>
      <c r="AN73" s="439" t="s">
        <v>455</v>
      </c>
      <c r="AO73" s="439"/>
      <c r="AP73" s="439"/>
      <c r="AQ73" s="439"/>
      <c r="AR73" s="439"/>
    </row>
    <row r="74" spans="5:44" x14ac:dyDescent="0.3">
      <c r="E74" s="439"/>
      <c r="F74" s="465">
        <f>IF(F73,1,0)</f>
        <v>1</v>
      </c>
      <c r="G74" s="439"/>
      <c r="H74" s="348" t="s">
        <v>39</v>
      </c>
      <c r="I74" s="467" t="b">
        <f>IF(UserInputs!$D$4="Data Lakehouse-Spark Only",FALSE,'Fabric Working Model-Peak'!$G$11)</f>
        <v>1</v>
      </c>
      <c r="J74" s="468">
        <f t="shared" si="12"/>
        <v>1</v>
      </c>
      <c r="K74" s="439"/>
      <c r="L74" s="439"/>
      <c r="M74" s="31"/>
      <c r="N74" s="31"/>
      <c r="O74" s="439"/>
      <c r="P74" s="439"/>
      <c r="Q74" s="439"/>
      <c r="R74" s="439"/>
      <c r="S74" s="439"/>
      <c r="T74" s="439"/>
      <c r="U74" s="439"/>
      <c r="V74" s="439"/>
      <c r="W74" s="439"/>
      <c r="X74" s="439"/>
      <c r="Z74" s="439"/>
      <c r="AA74" s="439"/>
      <c r="AB74" s="439"/>
      <c r="AC74" s="439"/>
      <c r="AD74" s="439"/>
      <c r="AE74" s="439"/>
      <c r="AF74" s="439"/>
      <c r="AG74" s="439"/>
      <c r="AH74" s="439"/>
      <c r="AI74" s="439"/>
      <c r="AJ74" s="439"/>
      <c r="AK74" s="439"/>
      <c r="AL74" s="439"/>
      <c r="AM74" s="439"/>
      <c r="AN74" s="439"/>
      <c r="AO74" s="439"/>
      <c r="AP74" s="439"/>
      <c r="AQ74" s="439"/>
      <c r="AR74" s="439"/>
    </row>
    <row r="75" spans="5:44" x14ac:dyDescent="0.3">
      <c r="E75" s="439"/>
      <c r="F75" s="439"/>
      <c r="G75" s="439"/>
      <c r="H75" s="439"/>
      <c r="I75" s="439"/>
      <c r="J75" s="439"/>
      <c r="K75" s="439"/>
      <c r="L75" s="439"/>
      <c r="M75" s="31"/>
      <c r="N75" s="31"/>
      <c r="O75" s="439"/>
      <c r="P75" s="439"/>
      <c r="Q75" s="439"/>
      <c r="R75" s="439"/>
      <c r="S75" s="439"/>
      <c r="T75" s="439"/>
      <c r="U75" s="439"/>
      <c r="V75" s="439"/>
      <c r="W75" s="439"/>
      <c r="X75" s="439"/>
      <c r="Z75" s="439"/>
      <c r="AA75" s="439"/>
      <c r="AB75" s="439"/>
      <c r="AC75" s="439"/>
      <c r="AD75" s="439"/>
      <c r="AE75" s="439"/>
      <c r="AF75" s="439"/>
      <c r="AG75" s="439"/>
      <c r="AH75" s="439"/>
      <c r="AI75" s="439"/>
      <c r="AJ75" s="439"/>
      <c r="AK75" s="439"/>
      <c r="AL75" s="439"/>
      <c r="AM75" s="439"/>
      <c r="AN75" s="439"/>
      <c r="AO75" s="439"/>
      <c r="AP75" s="439"/>
      <c r="AQ75" s="439"/>
      <c r="AR75" s="439"/>
    </row>
    <row r="76" spans="5:44" x14ac:dyDescent="0.3">
      <c r="E76" s="439"/>
      <c r="F76" s="439"/>
      <c r="G76" s="439"/>
      <c r="H76" s="439"/>
      <c r="I76" s="439"/>
      <c r="J76" s="439"/>
      <c r="K76" s="439"/>
      <c r="L76" s="439"/>
      <c r="M76" s="31"/>
      <c r="N76" s="31"/>
      <c r="O76" s="439"/>
      <c r="P76" s="439"/>
      <c r="Q76" s="439"/>
      <c r="R76" s="439"/>
      <c r="S76" s="439"/>
      <c r="T76" s="439"/>
      <c r="U76" s="439"/>
      <c r="V76" s="439"/>
      <c r="W76" s="439"/>
      <c r="X76" s="439"/>
      <c r="Z76" s="439"/>
      <c r="AA76" s="439"/>
      <c r="AB76" s="439"/>
      <c r="AC76" s="439"/>
      <c r="AD76" s="439"/>
      <c r="AE76" s="439"/>
      <c r="AF76" s="439"/>
      <c r="AG76" s="439"/>
      <c r="AH76" s="439"/>
      <c r="AI76" s="439"/>
      <c r="AJ76" s="439"/>
      <c r="AK76" s="439"/>
      <c r="AL76" s="439"/>
      <c r="AM76" s="439"/>
      <c r="AN76" s="439"/>
      <c r="AO76" s="439"/>
      <c r="AP76" s="439"/>
      <c r="AQ76" s="439"/>
      <c r="AR76" s="439"/>
    </row>
    <row r="77" spans="5:44" x14ac:dyDescent="0.3">
      <c r="E77" s="439"/>
      <c r="F77" s="439"/>
      <c r="G77" s="439"/>
      <c r="H77" s="439"/>
      <c r="I77" s="439"/>
      <c r="J77" s="439"/>
      <c r="K77" s="439"/>
      <c r="L77" s="439"/>
      <c r="M77" s="31"/>
      <c r="N77" s="31"/>
      <c r="O77" s="439"/>
      <c r="P77" s="439"/>
      <c r="Q77" s="439"/>
      <c r="R77" s="439"/>
      <c r="S77" s="439"/>
      <c r="T77" s="439"/>
      <c r="U77" s="439"/>
      <c r="V77" s="439"/>
      <c r="W77" s="439"/>
      <c r="X77" s="439"/>
      <c r="Z77" s="439"/>
      <c r="AA77" s="439"/>
      <c r="AB77" s="439"/>
      <c r="AC77" s="439"/>
      <c r="AD77" s="439"/>
      <c r="AE77" s="439"/>
      <c r="AF77" s="439"/>
      <c r="AG77" s="439"/>
      <c r="AH77" s="439"/>
      <c r="AI77" s="439"/>
      <c r="AJ77" s="439"/>
      <c r="AK77" s="439"/>
      <c r="AL77" s="439"/>
      <c r="AM77" s="439"/>
      <c r="AN77" s="439"/>
      <c r="AO77" s="439"/>
      <c r="AP77" s="439"/>
      <c r="AQ77" s="439"/>
      <c r="AR77" s="439"/>
    </row>
    <row r="78" spans="5:44" x14ac:dyDescent="0.3">
      <c r="E78" s="439"/>
      <c r="F78" s="297" t="s">
        <v>456</v>
      </c>
      <c r="G78" s="302" t="s">
        <v>457</v>
      </c>
      <c r="H78" s="466" t="s">
        <v>447</v>
      </c>
      <c r="I78" s="467" t="b">
        <f>NOT('Fabric Working Model-Avg'!$G$13)</f>
        <v>0</v>
      </c>
      <c r="J78" s="466">
        <f>IF(I78,1,0)</f>
        <v>0</v>
      </c>
      <c r="K78" s="439"/>
      <c r="L78" s="297" t="s">
        <v>458</v>
      </c>
      <c r="M78" s="466" t="s">
        <v>447</v>
      </c>
      <c r="N78" s="467" t="b">
        <f>('Fabric Working Model-Avg'!$G$16)</f>
        <v>1</v>
      </c>
      <c r="O78" s="466">
        <f>IF(N78,1,0)</f>
        <v>1</v>
      </c>
      <c r="P78" s="439"/>
      <c r="Q78" s="439"/>
      <c r="R78" s="439"/>
      <c r="S78" s="439"/>
      <c r="T78" s="439"/>
      <c r="U78" s="439"/>
      <c r="V78" s="439"/>
      <c r="W78" s="439"/>
      <c r="X78" s="439"/>
      <c r="Z78" s="439"/>
      <c r="AA78" s="439"/>
      <c r="AB78" s="439"/>
      <c r="AC78" s="439"/>
      <c r="AD78" s="439"/>
      <c r="AE78" s="439"/>
      <c r="AF78" s="439"/>
      <c r="AG78" s="439"/>
      <c r="AH78" s="439"/>
      <c r="AI78" s="439"/>
      <c r="AJ78" s="439"/>
      <c r="AK78" s="439"/>
      <c r="AL78" s="439"/>
      <c r="AM78" s="439"/>
      <c r="AN78" s="439"/>
      <c r="AO78" s="439"/>
      <c r="AP78" s="439"/>
      <c r="AQ78" s="439"/>
      <c r="AR78" s="439"/>
    </row>
    <row r="79" spans="5:44" x14ac:dyDescent="0.3">
      <c r="E79" s="439"/>
      <c r="F79" s="465" t="b">
        <v>1</v>
      </c>
      <c r="G79" s="348" t="b">
        <f>NOT(F79)</f>
        <v>0</v>
      </c>
      <c r="H79" s="466" t="s">
        <v>40</v>
      </c>
      <c r="I79" s="467" t="b">
        <f>NOT('Fabric Working Model-Lean'!$G$13)</f>
        <v>1</v>
      </c>
      <c r="J79" s="466">
        <f t="shared" ref="J79:J80" si="13">IF(I79,1,0)</f>
        <v>1</v>
      </c>
      <c r="K79" s="439"/>
      <c r="L79" s="348" t="b">
        <v>1</v>
      </c>
      <c r="M79" s="466" t="s">
        <v>40</v>
      </c>
      <c r="N79" s="467" t="b">
        <f>('Fabric Working Model-Lean'!$G$16)</f>
        <v>1</v>
      </c>
      <c r="O79" s="466">
        <f t="shared" ref="O79:O80" si="14">IF(N79,1,0)</f>
        <v>1</v>
      </c>
      <c r="P79" s="439"/>
      <c r="Q79" s="439"/>
      <c r="R79" s="439"/>
      <c r="S79" s="439"/>
      <c r="T79" s="439"/>
      <c r="U79" s="439"/>
      <c r="V79" s="439"/>
      <c r="W79" s="439"/>
      <c r="X79" s="439"/>
      <c r="Z79" s="439"/>
      <c r="AA79" s="439"/>
      <c r="AB79" s="439"/>
      <c r="AC79" s="439"/>
      <c r="AD79" s="439"/>
      <c r="AE79" s="439"/>
      <c r="AF79" s="439"/>
      <c r="AG79" s="439"/>
      <c r="AH79" s="439"/>
      <c r="AI79" s="439"/>
      <c r="AJ79" s="439"/>
      <c r="AK79" s="439"/>
      <c r="AL79" s="439"/>
      <c r="AM79" s="439"/>
      <c r="AN79" s="439"/>
      <c r="AO79" s="439"/>
      <c r="AP79" s="439"/>
      <c r="AQ79" s="439"/>
      <c r="AR79" s="439"/>
    </row>
    <row r="80" spans="5:44" x14ac:dyDescent="0.3">
      <c r="E80" s="439"/>
      <c r="F80" s="465">
        <f>IF(F79,1,0)</f>
        <v>1</v>
      </c>
      <c r="G80" s="465">
        <f>IF(G79,1,0)</f>
        <v>0</v>
      </c>
      <c r="H80" s="466" t="s">
        <v>39</v>
      </c>
      <c r="I80" s="467" t="b">
        <f>NOT('Fabric Working Model-Peak'!$G$13)</f>
        <v>1</v>
      </c>
      <c r="J80" s="466">
        <f t="shared" si="13"/>
        <v>1</v>
      </c>
      <c r="K80" s="439"/>
      <c r="L80" s="465">
        <f>IF(L79,1,0)</f>
        <v>1</v>
      </c>
      <c r="M80" s="466" t="s">
        <v>39</v>
      </c>
      <c r="N80" s="467" t="b">
        <f>('Fabric Working Model-Peak'!$G$16)</f>
        <v>1</v>
      </c>
      <c r="O80" s="466">
        <f t="shared" si="14"/>
        <v>1</v>
      </c>
      <c r="P80" s="439"/>
      <c r="Q80" s="439"/>
      <c r="R80" s="439"/>
      <c r="S80" s="439"/>
      <c r="T80" s="439"/>
      <c r="U80" s="439"/>
      <c r="V80" s="439"/>
      <c r="W80" s="439"/>
      <c r="X80" s="439"/>
      <c r="Z80" s="439"/>
      <c r="AA80" s="439"/>
      <c r="AB80" s="439"/>
      <c r="AC80" s="439"/>
      <c r="AD80" s="439"/>
      <c r="AE80" s="439"/>
      <c r="AF80" s="439"/>
      <c r="AG80" s="439"/>
      <c r="AH80" s="439"/>
      <c r="AI80" s="439"/>
      <c r="AJ80" s="439"/>
      <c r="AK80" s="439"/>
      <c r="AL80" s="439"/>
      <c r="AM80" s="439"/>
      <c r="AN80" s="439"/>
      <c r="AO80" s="439"/>
      <c r="AP80" s="439"/>
      <c r="AQ80" s="439"/>
      <c r="AR80" s="439"/>
    </row>
    <row r="81" spans="5:15" x14ac:dyDescent="0.3">
      <c r="E81" s="439"/>
      <c r="F81" s="439"/>
      <c r="G81" s="439"/>
      <c r="H81" s="439"/>
      <c r="I81" s="439"/>
      <c r="J81" s="439"/>
      <c r="K81" s="439"/>
      <c r="L81" s="439"/>
      <c r="M81" s="31"/>
      <c r="N81" s="31"/>
      <c r="O81" s="439"/>
    </row>
    <row r="82" spans="5:15" x14ac:dyDescent="0.3">
      <c r="E82" s="439"/>
      <c r="F82" s="439"/>
      <c r="G82" s="439"/>
      <c r="H82" s="439"/>
      <c r="I82" s="439"/>
      <c r="J82" s="439"/>
      <c r="K82" s="439"/>
      <c r="L82" s="439"/>
      <c r="M82" s="31"/>
      <c r="N82" s="31"/>
      <c r="O82" s="439"/>
    </row>
    <row r="83" spans="5:15" x14ac:dyDescent="0.3">
      <c r="E83" s="439"/>
      <c r="F83" s="439"/>
      <c r="G83" s="439"/>
      <c r="H83" s="439"/>
      <c r="I83" s="439"/>
      <c r="J83" s="439"/>
      <c r="K83" s="439"/>
      <c r="L83" s="439"/>
      <c r="M83" s="31"/>
      <c r="N83" s="31"/>
      <c r="O83" s="439"/>
    </row>
    <row r="84" spans="5:15" x14ac:dyDescent="0.3">
      <c r="E84" s="439"/>
      <c r="F84" s="302" t="s">
        <v>459</v>
      </c>
      <c r="G84" s="439"/>
      <c r="H84" s="466" t="s">
        <v>447</v>
      </c>
      <c r="I84" s="467" t="b">
        <f>IF(UserInputs!$D$4="Modern Data Warehouse",'Fabric Working Model-Avg'!$G$21,'Fabric Working Model-Avg'!$G$21)</f>
        <v>0</v>
      </c>
      <c r="J84" s="468">
        <f>IF(I84,1,0)</f>
        <v>0</v>
      </c>
      <c r="K84" s="439"/>
      <c r="L84" s="439"/>
      <c r="M84" s="31"/>
      <c r="N84" s="31"/>
      <c r="O84" s="439"/>
    </row>
    <row r="85" spans="5:15" x14ac:dyDescent="0.3">
      <c r="E85" s="439"/>
      <c r="F85" s="348" t="b">
        <v>0</v>
      </c>
      <c r="G85" s="439"/>
      <c r="H85" s="466" t="s">
        <v>40</v>
      </c>
      <c r="I85" s="467" t="b">
        <f>IF(UserInputs!$D$4="Modern Data Warehouse",'Fabric Working Model-Lean'!$G$21,'Fabric Working Model-Lean'!$G$21)</f>
        <v>1</v>
      </c>
      <c r="J85" s="468">
        <f t="shared" ref="J85:J86" si="15">IF(I85,1,0)</f>
        <v>1</v>
      </c>
      <c r="K85" s="439"/>
      <c r="L85" s="439"/>
      <c r="M85" s="31"/>
      <c r="N85" s="31"/>
      <c r="O85" s="439"/>
    </row>
    <row r="86" spans="5:15" x14ac:dyDescent="0.3">
      <c r="E86" s="439"/>
      <c r="F86" s="465">
        <f>IF(F85,1,0)</f>
        <v>0</v>
      </c>
      <c r="G86" s="439"/>
      <c r="H86" s="466" t="s">
        <v>39</v>
      </c>
      <c r="I86" s="467" t="b">
        <f>IF(UserInputs!$D$4="Modern Data Warehouse",'Fabric Working Model-Peak'!$G$21,'Fabric Working Model-Peak'!$G$21)</f>
        <v>1</v>
      </c>
      <c r="J86" s="468">
        <f t="shared" si="15"/>
        <v>1</v>
      </c>
      <c r="K86" s="439"/>
      <c r="L86" s="439"/>
      <c r="M86" s="31"/>
      <c r="N86" s="31"/>
      <c r="O86" s="439"/>
    </row>
    <row r="87" spans="5:15" x14ac:dyDescent="0.3">
      <c r="E87" s="439"/>
      <c r="F87" s="439"/>
      <c r="G87" s="439"/>
      <c r="H87" s="439"/>
      <c r="I87" s="439"/>
      <c r="J87" s="439"/>
      <c r="K87" s="439"/>
      <c r="L87" s="439"/>
      <c r="M87" s="31"/>
      <c r="N87" s="31"/>
      <c r="O87" s="439"/>
    </row>
    <row r="88" spans="5:15" x14ac:dyDescent="0.3">
      <c r="E88" s="439"/>
      <c r="F88" s="439"/>
      <c r="G88" s="439"/>
      <c r="H88" s="439"/>
      <c r="I88" s="439"/>
      <c r="J88" s="439"/>
      <c r="K88" s="439"/>
      <c r="L88" s="439"/>
      <c r="M88" s="31"/>
      <c r="N88" s="31"/>
      <c r="O88" s="439"/>
    </row>
    <row r="89" spans="5:15" x14ac:dyDescent="0.3">
      <c r="E89" s="439"/>
      <c r="F89" s="439"/>
      <c r="G89" s="439"/>
      <c r="H89" s="439"/>
      <c r="I89" s="439"/>
      <c r="J89" s="439"/>
      <c r="K89" s="439"/>
      <c r="L89" s="439"/>
      <c r="M89" s="31"/>
      <c r="N89" s="31"/>
      <c r="O89" s="439"/>
    </row>
    <row r="90" spans="5:15" x14ac:dyDescent="0.3">
      <c r="E90" s="439"/>
      <c r="F90" s="439"/>
      <c r="G90" s="439"/>
      <c r="H90" s="439"/>
      <c r="I90" s="439"/>
      <c r="J90" s="439"/>
      <c r="K90" s="439"/>
      <c r="L90" s="439"/>
      <c r="M90" s="31"/>
      <c r="N90" s="31"/>
      <c r="O90" s="439"/>
    </row>
    <row r="91" spans="5:15" x14ac:dyDescent="0.3">
      <c r="E91" s="439"/>
      <c r="F91" s="439"/>
      <c r="G91" s="439"/>
      <c r="H91" s="439"/>
      <c r="I91" s="439"/>
      <c r="J91" s="439"/>
      <c r="K91" s="439"/>
      <c r="L91" s="439"/>
      <c r="M91" s="31"/>
      <c r="N91" s="31"/>
      <c r="O91" s="439"/>
    </row>
    <row r="92" spans="5:15" ht="15" thickBot="1" x14ac:dyDescent="0.35">
      <c r="E92" s="439"/>
      <c r="F92" s="439"/>
      <c r="G92" s="439"/>
      <c r="H92" s="439"/>
      <c r="I92" s="439"/>
      <c r="J92" s="439"/>
      <c r="K92" s="439"/>
      <c r="L92" s="439"/>
      <c r="M92" s="31"/>
      <c r="N92" s="31"/>
      <c r="O92" s="439"/>
    </row>
    <row r="93" spans="5:15" ht="15" thickBot="1" x14ac:dyDescent="0.35">
      <c r="E93" s="350" t="s">
        <v>460</v>
      </c>
      <c r="F93" s="350" t="s">
        <v>461</v>
      </c>
      <c r="G93" s="351" t="s">
        <v>462</v>
      </c>
      <c r="H93" s="351" t="s">
        <v>314</v>
      </c>
      <c r="I93" s="352" t="s">
        <v>463</v>
      </c>
      <c r="J93" s="439"/>
      <c r="K93" s="618" t="s">
        <v>464</v>
      </c>
      <c r="L93" s="618"/>
      <c r="M93" s="618"/>
      <c r="N93" s="618"/>
      <c r="O93" s="618"/>
    </row>
    <row r="94" spans="5:15" ht="15" thickBot="1" x14ac:dyDescent="0.35">
      <c r="E94" s="353"/>
      <c r="F94" s="353" t="s">
        <v>465</v>
      </c>
      <c r="G94" s="354">
        <v>1</v>
      </c>
      <c r="H94" s="354">
        <v>1</v>
      </c>
      <c r="I94" s="354">
        <v>2</v>
      </c>
      <c r="J94" s="439"/>
      <c r="K94" s="343" t="s">
        <v>5</v>
      </c>
      <c r="L94" s="343" t="s">
        <v>466</v>
      </c>
      <c r="M94" s="343" t="s">
        <v>467</v>
      </c>
      <c r="N94" s="343" t="s">
        <v>42</v>
      </c>
      <c r="O94" s="343" t="s">
        <v>468</v>
      </c>
    </row>
    <row r="95" spans="5:15" ht="15" thickBot="1" x14ac:dyDescent="0.35">
      <c r="E95" s="353">
        <f>G94</f>
        <v>1</v>
      </c>
      <c r="F95" s="353" t="s">
        <v>469</v>
      </c>
      <c r="G95" s="354">
        <v>2</v>
      </c>
      <c r="H95" s="354">
        <v>4</v>
      </c>
      <c r="I95" s="354">
        <v>4</v>
      </c>
      <c r="J95" s="439"/>
      <c r="K95" s="343" t="s">
        <v>470</v>
      </c>
      <c r="L95" s="343">
        <v>3</v>
      </c>
      <c r="M95" s="343">
        <v>30</v>
      </c>
      <c r="N95" s="343" t="s">
        <v>471</v>
      </c>
      <c r="O95" s="343">
        <v>24</v>
      </c>
    </row>
    <row r="96" spans="5:15" ht="15" thickBot="1" x14ac:dyDescent="0.35">
      <c r="E96" s="355">
        <f t="shared" ref="E96:E101" si="16">G95</f>
        <v>2</v>
      </c>
      <c r="F96" s="355" t="s">
        <v>472</v>
      </c>
      <c r="G96" s="356">
        <v>20</v>
      </c>
      <c r="H96" s="356">
        <v>4</v>
      </c>
      <c r="I96" s="356">
        <v>8</v>
      </c>
      <c r="J96" s="439"/>
      <c r="K96" s="343" t="s">
        <v>473</v>
      </c>
      <c r="L96" s="343">
        <v>7</v>
      </c>
      <c r="M96" s="343">
        <v>90</v>
      </c>
      <c r="N96" s="343" t="s">
        <v>474</v>
      </c>
      <c r="O96" s="343">
        <v>12</v>
      </c>
    </row>
    <row r="97" spans="5:15" ht="15" thickBot="1" x14ac:dyDescent="0.35">
      <c r="E97" s="353">
        <f t="shared" si="16"/>
        <v>20</v>
      </c>
      <c r="F97" s="353" t="s">
        <v>263</v>
      </c>
      <c r="G97" s="354">
        <v>200</v>
      </c>
      <c r="H97" s="354">
        <v>8</v>
      </c>
      <c r="I97" s="354">
        <v>16</v>
      </c>
      <c r="J97" s="31"/>
      <c r="K97" s="343" t="s">
        <v>475</v>
      </c>
      <c r="L97" s="343">
        <v>30</v>
      </c>
      <c r="M97" s="343">
        <v>1095</v>
      </c>
      <c r="N97" s="343" t="s">
        <v>476</v>
      </c>
      <c r="O97" s="343">
        <v>24</v>
      </c>
    </row>
    <row r="98" spans="5:15" ht="15" thickBot="1" x14ac:dyDescent="0.35">
      <c r="E98" s="355">
        <f t="shared" si="16"/>
        <v>200</v>
      </c>
      <c r="F98" s="355" t="s">
        <v>477</v>
      </c>
      <c r="G98" s="356">
        <v>800</v>
      </c>
      <c r="H98" s="356">
        <v>12</v>
      </c>
      <c r="I98" s="356">
        <v>32</v>
      </c>
      <c r="J98" s="31"/>
      <c r="K98" s="343" t="s">
        <v>478</v>
      </c>
      <c r="L98" s="343">
        <v>90</v>
      </c>
      <c r="M98" s="343">
        <v>2555</v>
      </c>
      <c r="N98" s="343" t="s">
        <v>479</v>
      </c>
      <c r="O98" s="343">
        <v>24</v>
      </c>
    </row>
    <row r="99" spans="5:15" ht="15" thickBot="1" x14ac:dyDescent="0.35">
      <c r="E99" s="353">
        <f t="shared" si="16"/>
        <v>800</v>
      </c>
      <c r="F99" s="353" t="s">
        <v>480</v>
      </c>
      <c r="G99" s="354">
        <v>4000</v>
      </c>
      <c r="H99" s="354">
        <v>16</v>
      </c>
      <c r="I99" s="354">
        <v>128</v>
      </c>
      <c r="J99" s="439"/>
      <c r="K99" s="439"/>
      <c r="L99" s="439"/>
      <c r="M99" s="439"/>
      <c r="N99" s="439"/>
      <c r="O99" s="439"/>
    </row>
    <row r="100" spans="5:15" ht="15" thickBot="1" x14ac:dyDescent="0.35">
      <c r="E100" s="353">
        <f t="shared" si="16"/>
        <v>4000</v>
      </c>
      <c r="F100" s="353" t="s">
        <v>481</v>
      </c>
      <c r="G100" s="354">
        <v>6000</v>
      </c>
      <c r="H100" s="354">
        <v>24</v>
      </c>
      <c r="I100" s="354">
        <v>128</v>
      </c>
      <c r="J100" s="439"/>
      <c r="K100" s="439"/>
      <c r="L100" s="439"/>
      <c r="M100" s="439"/>
      <c r="N100" s="439"/>
      <c r="O100" s="439"/>
    </row>
    <row r="101" spans="5:15" ht="15" thickBot="1" x14ac:dyDescent="0.35">
      <c r="E101" s="355">
        <f t="shared" si="16"/>
        <v>6000</v>
      </c>
      <c r="F101" s="355" t="s">
        <v>482</v>
      </c>
      <c r="G101" s="356">
        <v>8000</v>
      </c>
      <c r="H101" s="356">
        <v>16</v>
      </c>
      <c r="I101" s="356">
        <v>256</v>
      </c>
      <c r="J101" s="439"/>
      <c r="K101" s="439"/>
      <c r="L101" s="439"/>
      <c r="M101" s="439"/>
      <c r="N101" s="439"/>
      <c r="O101" s="439"/>
    </row>
    <row r="109" spans="5:15" x14ac:dyDescent="0.3">
      <c r="E109" s="618" t="s">
        <v>483</v>
      </c>
      <c r="F109" s="618"/>
      <c r="G109" s="618"/>
      <c r="H109" s="343" t="s">
        <v>484</v>
      </c>
      <c r="I109" s="343" t="s">
        <v>485</v>
      </c>
      <c r="J109" s="343" t="s">
        <v>486</v>
      </c>
      <c r="K109" s="439"/>
      <c r="L109" s="439"/>
      <c r="M109" s="439"/>
      <c r="N109" s="439"/>
      <c r="O109" s="439"/>
    </row>
    <row r="110" spans="5:15" x14ac:dyDescent="0.3">
      <c r="E110" s="343" t="s">
        <v>34</v>
      </c>
      <c r="F110" s="619" t="s">
        <v>487</v>
      </c>
      <c r="G110" s="619"/>
      <c r="H110" s="357">
        <v>0.4</v>
      </c>
      <c r="I110" s="357">
        <v>0.35</v>
      </c>
      <c r="J110" s="357">
        <v>0.25</v>
      </c>
      <c r="K110" s="439"/>
      <c r="L110" s="439"/>
      <c r="M110" s="439"/>
      <c r="N110" s="439"/>
      <c r="O110" s="439"/>
    </row>
    <row r="111" spans="5:15" x14ac:dyDescent="0.3">
      <c r="E111" s="343" t="s">
        <v>488</v>
      </c>
      <c r="F111" s="619" t="s">
        <v>489</v>
      </c>
      <c r="G111" s="619"/>
      <c r="H111" s="357">
        <v>0.3</v>
      </c>
      <c r="I111" s="357">
        <v>0</v>
      </c>
      <c r="J111" s="358">
        <v>0.8</v>
      </c>
      <c r="K111" s="439"/>
      <c r="L111" s="439"/>
      <c r="M111" s="439"/>
      <c r="N111" s="439"/>
      <c r="O111" s="439"/>
    </row>
    <row r="112" spans="5:15" x14ac:dyDescent="0.3">
      <c r="E112" s="343" t="s">
        <v>490</v>
      </c>
      <c r="F112" s="633" t="s">
        <v>491</v>
      </c>
      <c r="G112" s="633"/>
      <c r="H112" s="357">
        <v>0.4</v>
      </c>
      <c r="I112" s="357">
        <v>0.35</v>
      </c>
      <c r="J112" s="357">
        <v>0.25</v>
      </c>
      <c r="K112" s="439"/>
      <c r="L112" s="439"/>
      <c r="M112" s="439"/>
      <c r="N112" s="439"/>
      <c r="O112" s="439"/>
    </row>
    <row r="117" spans="5:17" x14ac:dyDescent="0.3">
      <c r="E117" s="618" t="s">
        <v>150</v>
      </c>
      <c r="F117" s="618"/>
      <c r="G117" s="618"/>
      <c r="H117" s="618"/>
      <c r="I117" s="618"/>
      <c r="J117" s="439"/>
      <c r="K117" s="618" t="s">
        <v>150</v>
      </c>
      <c r="L117" s="618"/>
      <c r="M117" s="618"/>
      <c r="N117" s="618"/>
      <c r="O117" s="439"/>
      <c r="P117" s="439"/>
      <c r="Q117" s="439"/>
    </row>
    <row r="118" spans="5:17" x14ac:dyDescent="0.3">
      <c r="E118" s="343" t="s">
        <v>414</v>
      </c>
      <c r="F118" s="343" t="s">
        <v>492</v>
      </c>
      <c r="G118" s="343" t="s">
        <v>493</v>
      </c>
      <c r="H118" s="343" t="s">
        <v>494</v>
      </c>
      <c r="I118" s="343" t="s">
        <v>495</v>
      </c>
      <c r="J118" s="439"/>
      <c r="K118" s="618" t="s">
        <v>496</v>
      </c>
      <c r="L118" s="618"/>
      <c r="M118" s="618"/>
      <c r="N118" s="343" t="s">
        <v>497</v>
      </c>
      <c r="O118" s="439"/>
      <c r="P118" s="439"/>
      <c r="Q118" s="439"/>
    </row>
    <row r="119" spans="5:17" x14ac:dyDescent="0.3">
      <c r="E119" s="343" t="s">
        <v>472</v>
      </c>
      <c r="F119" s="343">
        <v>100</v>
      </c>
      <c r="G119" s="343">
        <v>5</v>
      </c>
      <c r="H119" s="343" t="s">
        <v>498</v>
      </c>
      <c r="I119" s="343">
        <v>25</v>
      </c>
      <c r="J119" s="439"/>
      <c r="K119" s="618" t="s">
        <v>499</v>
      </c>
      <c r="L119" s="618"/>
      <c r="M119" s="618"/>
      <c r="N119" s="343">
        <f>ROUNDUP(11.11*60,0)</f>
        <v>667</v>
      </c>
      <c r="O119" s="439"/>
      <c r="P119" s="439"/>
      <c r="Q119" s="439"/>
    </row>
    <row r="120" spans="5:17" x14ac:dyDescent="0.3">
      <c r="E120" s="343" t="s">
        <v>263</v>
      </c>
      <c r="F120" s="343">
        <v>1500</v>
      </c>
      <c r="G120" s="343">
        <v>1</v>
      </c>
      <c r="H120" s="343" t="s">
        <v>500</v>
      </c>
      <c r="I120" s="343">
        <v>100</v>
      </c>
      <c r="J120" s="439"/>
      <c r="K120" s="618" t="s">
        <v>501</v>
      </c>
      <c r="L120" s="618"/>
      <c r="M120" s="618"/>
      <c r="N120" s="359">
        <f>0.01/60</f>
        <v>1.6666666666666666E-4</v>
      </c>
      <c r="O120" s="439"/>
      <c r="P120" s="439"/>
      <c r="Q120" s="469"/>
    </row>
    <row r="121" spans="5:17" x14ac:dyDescent="0.3">
      <c r="E121" s="343" t="s">
        <v>477</v>
      </c>
      <c r="F121" s="343">
        <v>250000</v>
      </c>
      <c r="G121" s="343">
        <v>1440</v>
      </c>
      <c r="H121" s="343" t="s">
        <v>502</v>
      </c>
      <c r="I121" s="343">
        <v>1540</v>
      </c>
      <c r="J121" s="439"/>
      <c r="K121" s="618" t="s">
        <v>503</v>
      </c>
      <c r="L121" s="618"/>
      <c r="M121" s="618"/>
      <c r="N121" s="360">
        <f>1000/60</f>
        <v>16.666666666666668</v>
      </c>
      <c r="O121" s="439"/>
      <c r="P121" s="439"/>
      <c r="Q121" s="469"/>
    </row>
    <row r="122" spans="5:17" x14ac:dyDescent="0.3">
      <c r="E122" s="343" t="s">
        <v>480</v>
      </c>
      <c r="F122" s="343">
        <v>5000000</v>
      </c>
      <c r="G122" s="343">
        <v>60</v>
      </c>
      <c r="H122" s="343" t="s">
        <v>504</v>
      </c>
      <c r="I122" s="343">
        <v>4500</v>
      </c>
      <c r="J122" s="439"/>
      <c r="K122" s="439"/>
      <c r="L122" s="439"/>
      <c r="M122" s="439"/>
      <c r="N122" s="439"/>
      <c r="O122" s="439"/>
      <c r="P122" s="439"/>
      <c r="Q122" s="439"/>
    </row>
    <row r="128" spans="5:17" x14ac:dyDescent="0.3">
      <c r="E128" s="439"/>
      <c r="F128" s="439"/>
      <c r="G128" s="439"/>
      <c r="H128" s="439"/>
      <c r="I128" s="439"/>
      <c r="J128" s="439"/>
      <c r="K128" s="634" t="s">
        <v>149</v>
      </c>
      <c r="L128" s="634"/>
      <c r="M128" s="634"/>
      <c r="N128" s="634"/>
      <c r="O128" s="439"/>
      <c r="P128" s="439"/>
      <c r="Q128" s="439"/>
    </row>
    <row r="129" spans="5:14" x14ac:dyDescent="0.3">
      <c r="E129" s="439"/>
      <c r="F129" s="439"/>
      <c r="G129" s="439"/>
      <c r="H129" s="439"/>
      <c r="I129" s="439"/>
      <c r="J129" s="439"/>
      <c r="K129" s="634" t="s">
        <v>496</v>
      </c>
      <c r="L129" s="634"/>
      <c r="M129" s="634"/>
      <c r="N129" s="361" t="s">
        <v>497</v>
      </c>
    </row>
    <row r="130" spans="5:14" x14ac:dyDescent="0.3">
      <c r="E130" s="439"/>
      <c r="F130" s="439"/>
      <c r="G130" s="439"/>
      <c r="H130" s="439"/>
      <c r="I130" s="439"/>
      <c r="J130" s="439"/>
      <c r="K130" s="618" t="s">
        <v>505</v>
      </c>
      <c r="L130" s="618"/>
      <c r="M130" s="618"/>
      <c r="N130" s="343">
        <f>ROUNDUP((0.222*60),0)</f>
        <v>14</v>
      </c>
    </row>
    <row r="131" spans="5:14" x14ac:dyDescent="0.3">
      <c r="E131" s="439"/>
      <c r="F131" s="439"/>
      <c r="G131" s="439"/>
      <c r="H131" s="439"/>
      <c r="I131" s="439"/>
      <c r="J131" s="439"/>
      <c r="K131" s="618" t="s">
        <v>506</v>
      </c>
      <c r="L131" s="618"/>
      <c r="M131" s="618"/>
      <c r="N131" s="343">
        <f>ROUNDUP(0.342*60,0)</f>
        <v>21</v>
      </c>
    </row>
    <row r="132" spans="5:14" x14ac:dyDescent="0.3">
      <c r="E132" s="439"/>
      <c r="F132" s="439"/>
      <c r="G132" s="439"/>
      <c r="H132" s="439"/>
      <c r="I132" s="439"/>
      <c r="J132" s="439"/>
      <c r="K132" s="618" t="s">
        <v>507</v>
      </c>
      <c r="L132" s="618"/>
      <c r="M132" s="618"/>
      <c r="N132" s="343">
        <f>ROUNDUP(2.333*60,0)</f>
        <v>140</v>
      </c>
    </row>
    <row r="142" spans="5:14" x14ac:dyDescent="0.3">
      <c r="E142" s="348" t="s">
        <v>508</v>
      </c>
      <c r="F142" s="348" t="s">
        <v>509</v>
      </c>
      <c r="G142" s="348" t="s">
        <v>510</v>
      </c>
      <c r="H142" s="439"/>
      <c r="I142" s="439"/>
      <c r="J142" s="439"/>
      <c r="K142" s="439"/>
      <c r="L142" s="439"/>
      <c r="M142" s="439"/>
      <c r="N142" s="439"/>
    </row>
    <row r="143" spans="5:14" x14ac:dyDescent="0.3">
      <c r="E143" s="348">
        <v>1</v>
      </c>
      <c r="F143" s="348">
        <v>1</v>
      </c>
      <c r="G143" s="348" cm="1">
        <f t="array" ref="G143:G172">IF(ToggleValue="Monthly",$E$143:$E$172,IF(ToggleValue="Weekly",IF($F$143:$F$172&lt;&gt;"",$F$143:$F$172,"")))</f>
        <v>1</v>
      </c>
      <c r="H143" s="439"/>
      <c r="I143" s="439"/>
      <c r="J143" s="439"/>
      <c r="K143" s="439"/>
      <c r="L143" s="439"/>
      <c r="M143" s="439"/>
      <c r="N143" s="439"/>
    </row>
    <row r="144" spans="5:14" x14ac:dyDescent="0.3">
      <c r="E144" s="348">
        <v>2</v>
      </c>
      <c r="F144" s="348">
        <v>2</v>
      </c>
      <c r="G144" s="348">
        <v>2</v>
      </c>
      <c r="H144" s="439"/>
      <c r="I144" s="439"/>
      <c r="J144" s="439"/>
      <c r="K144" s="439"/>
      <c r="L144" s="439"/>
      <c r="M144" s="439"/>
      <c r="N144" s="439"/>
    </row>
    <row r="145" spans="5:7" x14ac:dyDescent="0.3">
      <c r="E145" s="348">
        <v>3</v>
      </c>
      <c r="F145" s="348">
        <v>3</v>
      </c>
      <c r="G145" s="348">
        <v>3</v>
      </c>
    </row>
    <row r="146" spans="5:7" x14ac:dyDescent="0.3">
      <c r="E146" s="348">
        <v>4</v>
      </c>
      <c r="F146" s="348">
        <v>4</v>
      </c>
      <c r="G146" s="348">
        <v>4</v>
      </c>
    </row>
    <row r="147" spans="5:7" x14ac:dyDescent="0.3">
      <c r="E147" s="348">
        <v>5</v>
      </c>
      <c r="F147" s="348">
        <v>5</v>
      </c>
      <c r="G147" s="348">
        <v>5</v>
      </c>
    </row>
    <row r="148" spans="5:7" x14ac:dyDescent="0.3">
      <c r="E148" s="348">
        <v>6</v>
      </c>
      <c r="F148" s="348">
        <v>6</v>
      </c>
      <c r="G148" s="348">
        <v>6</v>
      </c>
    </row>
    <row r="149" spans="5:7" x14ac:dyDescent="0.3">
      <c r="E149" s="348">
        <v>7</v>
      </c>
      <c r="F149" s="348">
        <v>7</v>
      </c>
      <c r="G149" s="348">
        <v>7</v>
      </c>
    </row>
    <row r="150" spans="5:7" x14ac:dyDescent="0.3">
      <c r="E150" s="348">
        <v>8</v>
      </c>
      <c r="F150" s="348"/>
      <c r="G150" s="348">
        <v>8</v>
      </c>
    </row>
    <row r="151" spans="5:7" x14ac:dyDescent="0.3">
      <c r="E151" s="348">
        <v>9</v>
      </c>
      <c r="F151" s="348"/>
      <c r="G151" s="348">
        <v>9</v>
      </c>
    </row>
    <row r="152" spans="5:7" x14ac:dyDescent="0.3">
      <c r="E152" s="348">
        <v>10</v>
      </c>
      <c r="F152" s="348"/>
      <c r="G152" s="348">
        <v>10</v>
      </c>
    </row>
    <row r="153" spans="5:7" x14ac:dyDescent="0.3">
      <c r="E153" s="348">
        <v>11</v>
      </c>
      <c r="F153" s="348"/>
      <c r="G153" s="348">
        <v>11</v>
      </c>
    </row>
    <row r="154" spans="5:7" x14ac:dyDescent="0.3">
      <c r="E154" s="348">
        <v>12</v>
      </c>
      <c r="F154" s="348"/>
      <c r="G154" s="348">
        <v>12</v>
      </c>
    </row>
    <row r="155" spans="5:7" x14ac:dyDescent="0.3">
      <c r="E155" s="348">
        <v>13</v>
      </c>
      <c r="F155" s="348"/>
      <c r="G155" s="348">
        <v>13</v>
      </c>
    </row>
    <row r="156" spans="5:7" x14ac:dyDescent="0.3">
      <c r="E156" s="348">
        <v>14</v>
      </c>
      <c r="F156" s="348"/>
      <c r="G156" s="348">
        <v>14</v>
      </c>
    </row>
    <row r="157" spans="5:7" x14ac:dyDescent="0.3">
      <c r="E157" s="348">
        <v>15</v>
      </c>
      <c r="F157" s="348"/>
      <c r="G157" s="348">
        <v>15</v>
      </c>
    </row>
    <row r="158" spans="5:7" x14ac:dyDescent="0.3">
      <c r="E158" s="348">
        <v>16</v>
      </c>
      <c r="F158" s="348"/>
      <c r="G158" s="348">
        <v>16</v>
      </c>
    </row>
    <row r="159" spans="5:7" x14ac:dyDescent="0.3">
      <c r="E159" s="348">
        <v>17</v>
      </c>
      <c r="F159" s="348"/>
      <c r="G159" s="348">
        <v>17</v>
      </c>
    </row>
    <row r="160" spans="5:7" x14ac:dyDescent="0.3">
      <c r="E160" s="348">
        <v>18</v>
      </c>
      <c r="F160" s="348"/>
      <c r="G160" s="348">
        <v>18</v>
      </c>
    </row>
    <row r="161" spans="5:13" x14ac:dyDescent="0.3">
      <c r="E161" s="348">
        <v>19</v>
      </c>
      <c r="F161" s="348"/>
      <c r="G161" s="348">
        <v>19</v>
      </c>
      <c r="H161" s="439"/>
      <c r="I161" s="439"/>
      <c r="J161" s="439"/>
      <c r="K161" s="439"/>
      <c r="L161" s="439"/>
      <c r="M161" s="439"/>
    </row>
    <row r="162" spans="5:13" x14ac:dyDescent="0.3">
      <c r="E162" s="348">
        <v>20</v>
      </c>
      <c r="F162" s="348"/>
      <c r="G162" s="348">
        <v>20</v>
      </c>
      <c r="H162" s="439"/>
      <c r="I162" s="439"/>
      <c r="J162" s="439"/>
      <c r="K162" s="439"/>
      <c r="L162" s="439"/>
      <c r="M162" s="439"/>
    </row>
    <row r="163" spans="5:13" x14ac:dyDescent="0.3">
      <c r="E163" s="348">
        <v>21</v>
      </c>
      <c r="F163" s="348"/>
      <c r="G163" s="348">
        <v>21</v>
      </c>
      <c r="H163" s="439"/>
      <c r="I163" s="439"/>
      <c r="J163" s="439"/>
      <c r="K163" s="439"/>
      <c r="L163" s="439"/>
      <c r="M163" s="439"/>
    </row>
    <row r="164" spans="5:13" x14ac:dyDescent="0.3">
      <c r="E164" s="348">
        <v>22</v>
      </c>
      <c r="F164" s="348"/>
      <c r="G164" s="348">
        <v>22</v>
      </c>
      <c r="H164" s="439"/>
      <c r="I164" s="439"/>
      <c r="J164" s="439"/>
      <c r="K164" s="439"/>
      <c r="L164" s="439"/>
      <c r="M164" s="439"/>
    </row>
    <row r="165" spans="5:13" x14ac:dyDescent="0.3">
      <c r="E165" s="348">
        <v>23</v>
      </c>
      <c r="F165" s="348"/>
      <c r="G165" s="348">
        <v>23</v>
      </c>
      <c r="H165" s="439"/>
      <c r="I165" s="439"/>
      <c r="J165" s="439"/>
      <c r="K165" s="439"/>
      <c r="L165" s="439"/>
      <c r="M165" s="439"/>
    </row>
    <row r="166" spans="5:13" x14ac:dyDescent="0.3">
      <c r="E166" s="348">
        <v>24</v>
      </c>
      <c r="F166" s="348"/>
      <c r="G166" s="348">
        <v>24</v>
      </c>
      <c r="H166" s="439"/>
      <c r="I166" s="439"/>
      <c r="J166" s="439"/>
      <c r="K166" s="439"/>
      <c r="L166" s="439"/>
      <c r="M166" s="439"/>
    </row>
    <row r="167" spans="5:13" x14ac:dyDescent="0.3">
      <c r="E167" s="348">
        <v>25</v>
      </c>
      <c r="F167" s="348"/>
      <c r="G167" s="348">
        <v>25</v>
      </c>
      <c r="H167" s="439"/>
      <c r="I167" s="439"/>
      <c r="J167" s="439"/>
      <c r="K167" s="439"/>
      <c r="L167" s="439"/>
      <c r="M167" s="439"/>
    </row>
    <row r="168" spans="5:13" x14ac:dyDescent="0.3">
      <c r="E168" s="348">
        <v>26</v>
      </c>
      <c r="F168" s="348"/>
      <c r="G168" s="348">
        <v>26</v>
      </c>
      <c r="H168" s="439"/>
      <c r="I168" s="439"/>
      <c r="J168" s="439"/>
      <c r="K168" s="439"/>
      <c r="L168" s="439"/>
      <c r="M168" s="439"/>
    </row>
    <row r="169" spans="5:13" x14ac:dyDescent="0.3">
      <c r="E169" s="348">
        <v>27</v>
      </c>
      <c r="F169" s="348"/>
      <c r="G169" s="348">
        <v>27</v>
      </c>
      <c r="H169" s="439"/>
      <c r="I169" s="439"/>
      <c r="J169" s="439"/>
      <c r="K169" s="439"/>
      <c r="L169" s="439"/>
      <c r="M169" s="439"/>
    </row>
    <row r="170" spans="5:13" x14ac:dyDescent="0.3">
      <c r="E170" s="348">
        <v>28</v>
      </c>
      <c r="F170" s="348"/>
      <c r="G170" s="348">
        <v>28</v>
      </c>
      <c r="H170" s="439"/>
      <c r="I170" s="439"/>
      <c r="J170" s="439"/>
      <c r="K170" s="439"/>
      <c r="L170" s="439"/>
      <c r="M170" s="439"/>
    </row>
    <row r="171" spans="5:13" x14ac:dyDescent="0.3">
      <c r="E171" s="348">
        <v>29</v>
      </c>
      <c r="F171" s="348"/>
      <c r="G171" s="348">
        <v>29</v>
      </c>
      <c r="H171" s="439"/>
      <c r="I171" s="439"/>
      <c r="J171" s="439"/>
      <c r="K171" s="439"/>
      <c r="L171" s="439"/>
      <c r="M171" s="439"/>
    </row>
    <row r="172" spans="5:13" x14ac:dyDescent="0.3">
      <c r="E172" s="348">
        <v>30</v>
      </c>
      <c r="F172" s="348"/>
      <c r="G172" s="348">
        <v>30</v>
      </c>
      <c r="H172" s="439"/>
      <c r="I172" s="439"/>
      <c r="J172" s="439"/>
      <c r="K172" s="439"/>
      <c r="L172" s="439"/>
      <c r="M172" s="439"/>
    </row>
  </sheetData>
  <sheetProtection algorithmName="SHA-512" hashValue="e2eBQguGfmYsUoS52M7dZs4P0G1chYeWRq5T+s3KpcgWbkNoyxbxGjnQxYQ3xinnALkeZBlAezwmYfRTnfCSUQ==" saltValue="q9Nc7SPnD+S8tt1CkbTisQ==" spinCount="100000" sheet="1" objects="1" scenarios="1" formatCells="0" formatColumns="0" formatRows="0"/>
  <mergeCells count="31">
    <mergeCell ref="K132:M132"/>
    <mergeCell ref="F112:G112"/>
    <mergeCell ref="AN29:AP29"/>
    <mergeCell ref="K128:N128"/>
    <mergeCell ref="K129:M129"/>
    <mergeCell ref="K130:M130"/>
    <mergeCell ref="AN36:AP36"/>
    <mergeCell ref="AN34:AP34"/>
    <mergeCell ref="AN35:AP35"/>
    <mergeCell ref="F37:J37"/>
    <mergeCell ref="AN48:AP48"/>
    <mergeCell ref="AN49:AP49"/>
    <mergeCell ref="AN41:AP41"/>
    <mergeCell ref="AQ8:AS8"/>
    <mergeCell ref="AQ11:AS11"/>
    <mergeCell ref="AQ12:AS12"/>
    <mergeCell ref="AN9:AO9"/>
    <mergeCell ref="AN33:AP33"/>
    <mergeCell ref="F2:I2"/>
    <mergeCell ref="F9:L9"/>
    <mergeCell ref="K131:M131"/>
    <mergeCell ref="E109:G109"/>
    <mergeCell ref="F110:G110"/>
    <mergeCell ref="F111:G111"/>
    <mergeCell ref="E117:I117"/>
    <mergeCell ref="K117:N117"/>
    <mergeCell ref="K120:M120"/>
    <mergeCell ref="K121:M121"/>
    <mergeCell ref="K93:O93"/>
    <mergeCell ref="K118:M118"/>
    <mergeCell ref="K119:M119"/>
  </mergeCells>
  <dataValidations disablePrompts="1" count="1">
    <dataValidation type="list" allowBlank="1" showInputMessage="1" showErrorMessage="1" sqref="H142" xr:uid="{EF488EB8-9280-4FED-8061-40A275F50E2C}">
      <formula1>$G$143:$G$172</formula1>
    </dataValidation>
  </dataValidations>
  <hyperlinks>
    <hyperlink ref="AQ13" r:id="rId1" xr:uid="{767FEE0E-E4A7-4EB9-BC56-1BC7E80242FA}"/>
  </hyperlinks>
  <pageMargins left="0.7" right="0.7" top="0.75" bottom="0.75" header="0.3" footer="0.3"/>
  <headerFooter>
    <oddFooter>&amp;L_x000D_&amp;1#&amp;"Calibri"&amp;10&amp;K000000 Classified as Microsoft 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1A901-EE6B-43F8-98A2-FE3960C907FD}">
  <sheetPr codeName="Sheet2">
    <tabColor rgb="FFFFFF00"/>
  </sheetPr>
  <dimension ref="E5:K8"/>
  <sheetViews>
    <sheetView showGridLines="0" showRowColHeaders="0" workbookViewId="0">
      <selection activeCell="H9" sqref="H9"/>
    </sheetView>
  </sheetViews>
  <sheetFormatPr defaultColWidth="9.109375" defaultRowHeight="14.4" x14ac:dyDescent="0.3"/>
  <cols>
    <col min="6" max="6" width="14.88671875" bestFit="1" customWidth="1"/>
    <col min="7" max="7" width="19.109375" bestFit="1" customWidth="1"/>
    <col min="8" max="8" width="24" bestFit="1" customWidth="1"/>
    <col min="9" max="9" width="31" bestFit="1" customWidth="1"/>
    <col min="10" max="10" width="22" bestFit="1" customWidth="1"/>
  </cols>
  <sheetData>
    <row r="5" spans="5:11" ht="15" thickBot="1" x14ac:dyDescent="0.35">
      <c r="E5" s="470"/>
      <c r="F5" s="641" t="s">
        <v>511</v>
      </c>
      <c r="G5" s="642"/>
      <c r="H5" s="642"/>
      <c r="I5" s="642"/>
      <c r="J5" s="642"/>
      <c r="K5" s="470"/>
    </row>
    <row r="6" spans="5:11" ht="15" thickBot="1" x14ac:dyDescent="0.35">
      <c r="E6" s="470"/>
      <c r="F6" s="1" t="s">
        <v>512</v>
      </c>
      <c r="G6" s="2" t="s">
        <v>513</v>
      </c>
      <c r="H6" s="7" t="s">
        <v>514</v>
      </c>
      <c r="I6" s="7" t="s">
        <v>515</v>
      </c>
      <c r="J6" s="7" t="s">
        <v>516</v>
      </c>
      <c r="K6" s="470"/>
    </row>
    <row r="7" spans="5:11" ht="15" thickBot="1" x14ac:dyDescent="0.35">
      <c r="E7" s="470"/>
      <c r="F7" s="27">
        <v>0.18</v>
      </c>
      <c r="G7" s="27">
        <v>10</v>
      </c>
      <c r="H7" s="27">
        <v>2.3E-2</v>
      </c>
      <c r="I7" s="27">
        <v>0.246</v>
      </c>
      <c r="J7" s="27">
        <v>4.1399999999999999E-2</v>
      </c>
      <c r="K7" s="470"/>
    </row>
    <row r="8" spans="5:11" x14ac:dyDescent="0.3">
      <c r="E8" s="470"/>
      <c r="F8" s="470"/>
      <c r="G8" s="470"/>
      <c r="H8" s="470"/>
      <c r="I8" s="470"/>
      <c r="J8" s="470"/>
      <c r="K8" s="470"/>
    </row>
  </sheetData>
  <sheetProtection algorithmName="SHA-512" hashValue="HTo4eCfHPM0P79MH1nMjVmj0Jd0EwWBjkbnlRzhQxd4MTt/mQnbDgG1Euko8QMuDw0XrvBv8JqzxIkVqvjBmvg==" saltValue="o1jlEdFP6hNjoRiRNAClLQ==" spinCount="100000" sheet="1" objects="1" scenarios="1" formatCells="0" formatColumns="0" formatRows="0"/>
  <mergeCells count="1">
    <mergeCell ref="F5:J5"/>
  </mergeCells>
  <pageMargins left="0.7" right="0.7" top="0.75" bottom="0.75" header="0.3" footer="0.3"/>
  <headerFooter>
    <oddFooter>&amp;L_x000D_&amp;1#&amp;"Calibri"&amp;10&amp;K000000 Classified as Microsoft 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visado xmlns="14f136f8-d6e3-432a-ae76-0cd9ae994d5c" xsi:nil="true"/>
    <lcf76f155ced4ddcb4097134ff3c332f xmlns="14f136f8-d6e3-432a-ae76-0cd9ae994d5c">
      <Terms xmlns="http://schemas.microsoft.com/office/infopath/2007/PartnerControls"/>
    </lcf76f155ced4ddcb4097134ff3c332f>
    <TaxCatchAll xmlns="33293bf9-c36b-4820-8614-1173818622d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FE86F58F15CF64E9ED39C9A6DA3E724" ma:contentTypeVersion="17" ma:contentTypeDescription="Create a new document." ma:contentTypeScope="" ma:versionID="80ffe3b5e75322de8cbb78a47969260a">
  <xsd:schema xmlns:xsd="http://www.w3.org/2001/XMLSchema" xmlns:xs="http://www.w3.org/2001/XMLSchema" xmlns:p="http://schemas.microsoft.com/office/2006/metadata/properties" xmlns:ns2="14f136f8-d6e3-432a-ae76-0cd9ae994d5c" xmlns:ns3="33293bf9-c36b-4820-8614-1173818622d2" targetNamespace="http://schemas.microsoft.com/office/2006/metadata/properties" ma:root="true" ma:fieldsID="67488784dc32b9e871d0e76b2dc7faf6" ns2:_="" ns3:_="">
    <xsd:import namespace="14f136f8-d6e3-432a-ae76-0cd9ae994d5c"/>
    <xsd:import namespace="33293bf9-c36b-4820-8614-1173818622d2"/>
    <xsd:element name="properties">
      <xsd:complexType>
        <xsd:sequence>
          <xsd:element name="documentManagement">
            <xsd:complexType>
              <xsd:all>
                <xsd:element ref="ns2:Revisado" minOccurs="0"/>
                <xsd:element ref="ns2:MediaServiceMetadata" minOccurs="0"/>
                <xsd:element ref="ns2:MediaServiceFastMetadata"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f136f8-d6e3-432a-ae76-0cd9ae994d5c" elementFormDefault="qualified">
    <xsd:import namespace="http://schemas.microsoft.com/office/2006/documentManagement/types"/>
    <xsd:import namespace="http://schemas.microsoft.com/office/infopath/2007/PartnerControls"/>
    <xsd:element name="Revisado" ma:index="3" nillable="true" ma:displayName="Revisado" ma:format="Dropdown" ma:internalName="Revisado" ma:readOnly="false">
      <xsd:simpleType>
        <xsd:restriction base="dms:Choice">
          <xsd:enumeration value="No"/>
          <xsd:enumeration value="Si"/>
        </xsd:restriction>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39763afe-5725-41ae-9925-6d40a12374d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hidden="true" ma:internalName="MediaServiceOCR" ma:readOnly="true">
      <xsd:simpleType>
        <xsd:restriction base="dms:Note"/>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293bf9-c36b-4820-8614-1173818622d2"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0aa71f8c-c75b-475f-b5bb-f930b6eac745}" ma:internalName="TaxCatchAll" ma:readOnly="false" ma:showField="CatchAllData" ma:web="33293bf9-c36b-4820-8614-1173818622d2">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8FAA37-C6AC-487F-ABE3-C80C541AE144}">
  <ds:schemaRefs>
    <ds:schemaRef ds:uri="http://schemas.microsoft.com/office/2006/metadata/properties"/>
    <ds:schemaRef ds:uri="http://schemas.microsoft.com/office/infopath/2007/PartnerControls"/>
    <ds:schemaRef ds:uri="14f136f8-d6e3-432a-ae76-0cd9ae994d5c"/>
    <ds:schemaRef ds:uri="33293bf9-c36b-4820-8614-1173818622d2"/>
  </ds:schemaRefs>
</ds:datastoreItem>
</file>

<file path=customXml/itemProps2.xml><?xml version="1.0" encoding="utf-8"?>
<ds:datastoreItem xmlns:ds="http://schemas.openxmlformats.org/officeDocument/2006/customXml" ds:itemID="{12BFE701-5302-4B1D-9327-7703BC9F8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f136f8-d6e3-432a-ae76-0cd9ae994d5c"/>
    <ds:schemaRef ds:uri="33293bf9-c36b-4820-8614-1173818622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A712780-95B7-4839-BB2B-B692632B884A}">
  <ds:schemaRefs>
    <ds:schemaRef ds:uri="http://schemas.microsoft.com/sharepoint/v3/contenttype/forms"/>
  </ds:schemaRefs>
</ds:datastoreItem>
</file>

<file path=docMetadata/LabelInfo.xml><?xml version="1.0" encoding="utf-8"?>
<clbl:labelList xmlns:clbl="http://schemas.microsoft.com/office/2020/mipLabelMetadata">
  <clbl:label id="{0483ae51-a627-466e-a7dd-de2ac7e1238e}" enabled="0" method="" siteId="{0483ae51-a627-466e-a7dd-de2ac7e1238e}" removed="1"/>
  <clbl:label id="{f42aa342-8706-4288-bd11-ebb85995028c}" enabled="1" method="Privileged" siteId="{72f988bf-86f1-41af-91ab-2d7cd011db47}"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ReadMe</vt:lpstr>
      <vt:lpstr>UserInputs</vt:lpstr>
      <vt:lpstr>SKU Calculator Sheet</vt:lpstr>
      <vt:lpstr>Fabric Working Model-Avg</vt:lpstr>
      <vt:lpstr>Fabric Working Model-Peak</vt:lpstr>
      <vt:lpstr>Fabric Working Model-Lean</vt:lpstr>
      <vt:lpstr>FabricMapping</vt:lpstr>
      <vt:lpstr>Cost_Setup</vt:lpstr>
      <vt:lpstr>ToggleValue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Romin Singh</dc:creator>
  <cp:keywords/>
  <dc:description/>
  <cp:lastModifiedBy>Harish Kumar (WPP Group USA LLC)</cp:lastModifiedBy>
  <cp:revision/>
  <dcterms:created xsi:type="dcterms:W3CDTF">2023-09-13T09:02:51Z</dcterms:created>
  <dcterms:modified xsi:type="dcterms:W3CDTF">2024-10-07T08:15:38Z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0x0101006FE86F58F15CF64E9ED39C9A6DA3E724</vt:lpwstr>
  </property>
  <property fmtid="{D5CDD505-2E9C-101B-9397-08002B2CF9AE}" pid="3" name="MediaServiceImageTags">
    <vt:lpwstr/>
  </property>
</Properties>
</file>